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K:\BoudreauTh\FISCAL Matters\MOE\MOE CALCULATOR\Current Calc for CT\"/>
    </mc:Choice>
  </mc:AlternateContent>
  <bookViews>
    <workbookView xWindow="0" yWindow="0" windowWidth="15360" windowHeight="7725" tabRatio="928" activeTab="4"/>
  </bookViews>
  <sheets>
    <sheet name="1. Title Page" sheetId="16" r:id="rId1"/>
    <sheet name="2. Instructions" sheetId="5" r:id="rId2"/>
    <sheet name="3. Getting Started" sheetId="17" r:id="rId3"/>
    <sheet name="4. Multi-Year MOE Summary" sheetId="1" r:id="rId4"/>
    <sheet name="5. 15-16 Amounts" sheetId="20" r:id="rId5"/>
    <sheet name="6. 15-16 MOE" sheetId="21" r:id="rId6"/>
    <sheet name="7. 15-16 Exc &amp; Adj" sheetId="11" r:id="rId7"/>
    <sheet name="8. 16-17 Amounts" sheetId="2" r:id="rId8"/>
    <sheet name="9. 16-17 MOE" sheetId="7" r:id="rId9"/>
    <sheet name="10. 16-17 Exc &amp; Adj" sheetId="10" r:id="rId10"/>
    <sheet name="11. 17-18 Amounts" sheetId="29" r:id="rId11"/>
    <sheet name="12. 17-18 MOE" sheetId="38" r:id="rId12"/>
    <sheet name="13. 17-18 Exc &amp; Adj" sheetId="35" r:id="rId13"/>
    <sheet name="14. 18-19 Amounts" sheetId="30" r:id="rId14"/>
    <sheet name="15. 18-19 MOE" sheetId="41" r:id="rId15"/>
    <sheet name="16. 18-19 Exc &amp; Adj" sheetId="36" r:id="rId16"/>
    <sheet name="17. 19-20 Amounts" sheetId="31" r:id="rId17"/>
    <sheet name="18. 19-20 MOE" sheetId="43" r:id="rId18"/>
    <sheet name="19. 19-20 Exc &amp; Adj" sheetId="37" r:id="rId19"/>
    <sheet name="20. 11-12 Exc &amp; Adj" sheetId="45" r:id="rId20"/>
    <sheet name="21. 12-13 Exc &amp; Adj" sheetId="14" r:id="rId21"/>
    <sheet name="22. 13-14 Exc &amp; Adj" sheetId="13" r:id="rId22"/>
    <sheet name="23. 14-15 Exc &amp; Adj" sheetId="12" r:id="rId23"/>
    <sheet name="Lists" sheetId="15" state="hidden" r:id="rId24"/>
    <sheet name="24. LEA or SEA Worksheet" sheetId="44" r:id="rId25"/>
  </sheets>
  <definedNames>
    <definedName name="_xlnm.Print_Area" localSheetId="3">'4. Multi-Year MOE Summary'!$A$1:$Q$12</definedName>
    <definedName name="_xlnm.Print_Titles" localSheetId="9">'10. 16-17 Exc &amp; Adj'!$2:$2</definedName>
    <definedName name="_xlnm.Print_Titles" localSheetId="10">'11. 17-18 Amounts'!$2:$4</definedName>
    <definedName name="_xlnm.Print_Titles" localSheetId="11">'12. 17-18 MOE'!$2:$2</definedName>
    <definedName name="_xlnm.Print_Titles" localSheetId="12">'13. 17-18 Exc &amp; Adj'!$2:$2</definedName>
    <definedName name="_xlnm.Print_Titles" localSheetId="13">'14. 18-19 Amounts'!$2:$4</definedName>
    <definedName name="_xlnm.Print_Titles" localSheetId="14">'15. 18-19 MOE'!$2:$2</definedName>
    <definedName name="_xlnm.Print_Titles" localSheetId="15">'16. 18-19 Exc &amp; Adj'!$2:$2</definedName>
    <definedName name="_xlnm.Print_Titles" localSheetId="16">'17. 19-20 Amounts'!$2:$4</definedName>
    <definedName name="_xlnm.Print_Titles" localSheetId="17">'18. 19-20 MOE'!$2:$2</definedName>
    <definedName name="_xlnm.Print_Titles" localSheetId="18">'19. 19-20 Exc &amp; Adj'!$2:$2</definedName>
    <definedName name="_xlnm.Print_Titles" localSheetId="19">'20. 11-12 Exc &amp; Adj'!$1:$1</definedName>
    <definedName name="_xlnm.Print_Titles" localSheetId="20">'21. 12-13 Exc &amp; Adj'!$1:$1</definedName>
    <definedName name="_xlnm.Print_Titles" localSheetId="21">'22. 13-14 Exc &amp; Adj'!$1:$1</definedName>
    <definedName name="_xlnm.Print_Titles" localSheetId="22">'23. 14-15 Exc &amp; Adj'!$1:$1</definedName>
    <definedName name="_xlnm.Print_Titles" localSheetId="3">'4. Multi-Year MOE Summary'!$A:$B,'4. Multi-Year MOE Summary'!$1:$2</definedName>
    <definedName name="_xlnm.Print_Titles" localSheetId="4">'5. 15-16 Amounts'!$2:$4</definedName>
    <definedName name="_xlnm.Print_Titles" localSheetId="5">'6. 15-16 MOE'!$2:$2</definedName>
    <definedName name="_xlnm.Print_Titles" localSheetId="6">'7. 15-16 Exc &amp; Adj'!$2:$2</definedName>
    <definedName name="_xlnm.Print_Titles" localSheetId="7">'8. 16-17 Amounts'!$2:$4</definedName>
    <definedName name="_xlnm.Print_Titles" localSheetId="8">'9. 16-17 MOE'!$2:$2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29" i="37" l="1"/>
  <c r="B31" i="37"/>
  <c r="B30" i="37"/>
  <c r="B29" i="36"/>
  <c r="B31" i="36"/>
  <c r="C34" i="36"/>
  <c r="B30" i="36"/>
  <c r="B29" i="35"/>
  <c r="B31" i="35"/>
  <c r="B30" i="35"/>
  <c r="B29" i="10"/>
  <c r="B31" i="10"/>
  <c r="B30" i="10"/>
  <c r="F1" i="12"/>
  <c r="F1" i="13"/>
  <c r="F1" i="14"/>
  <c r="F1" i="45"/>
  <c r="L1" i="37"/>
  <c r="E1" i="37"/>
  <c r="H1" i="43"/>
  <c r="L1" i="31"/>
  <c r="E1" i="31"/>
  <c r="L1" i="36"/>
  <c r="E1" i="36"/>
  <c r="H1" i="41"/>
  <c r="L1" i="30"/>
  <c r="E1" i="30"/>
  <c r="L1" i="35"/>
  <c r="E1" i="35"/>
  <c r="H1" i="38"/>
  <c r="L1" i="29"/>
  <c r="E1" i="29"/>
  <c r="L1" i="10"/>
  <c r="E1" i="10"/>
  <c r="H1" i="7"/>
  <c r="E1" i="2"/>
  <c r="L1" i="2"/>
  <c r="L1" i="11"/>
  <c r="E1" i="11"/>
  <c r="H1" i="21"/>
  <c r="L1" i="20"/>
  <c r="E1" i="20"/>
  <c r="B1" i="1"/>
  <c r="D30" i="31"/>
  <c r="B6" i="43"/>
  <c r="C6" i="43"/>
  <c r="A45" i="43"/>
  <c r="F5" i="2"/>
  <c r="F6" i="2"/>
  <c r="F7" i="2"/>
  <c r="F8" i="2"/>
  <c r="F9" i="2"/>
  <c r="F10" i="2"/>
  <c r="F11" i="2"/>
  <c r="F12" i="2"/>
  <c r="F13" i="2"/>
  <c r="F14" i="2"/>
  <c r="F15" i="2"/>
  <c r="F16" i="2"/>
  <c r="F17" i="2"/>
  <c r="F18" i="2"/>
  <c r="F19" i="2"/>
  <c r="F20" i="2"/>
  <c r="F21" i="2"/>
  <c r="F22" i="2"/>
  <c r="F23" i="2"/>
  <c r="F24" i="2"/>
  <c r="F25" i="2"/>
  <c r="F26" i="2"/>
  <c r="F27" i="2"/>
  <c r="F28" i="2"/>
  <c r="F29" i="2"/>
  <c r="F7" i="10"/>
  <c r="F8" i="10"/>
  <c r="F9" i="10"/>
  <c r="F10" i="10"/>
  <c r="F11" i="10"/>
  <c r="F15" i="10"/>
  <c r="F16" i="10"/>
  <c r="F17" i="10"/>
  <c r="F18" i="10"/>
  <c r="F19" i="10"/>
  <c r="F7" i="11"/>
  <c r="F8" i="11"/>
  <c r="F9" i="11"/>
  <c r="F10" i="11"/>
  <c r="F11" i="11"/>
  <c r="F15" i="11"/>
  <c r="F16" i="11"/>
  <c r="F17" i="11"/>
  <c r="F18" i="11"/>
  <c r="F19" i="11"/>
  <c r="F6" i="12"/>
  <c r="F7" i="12"/>
  <c r="F8" i="12"/>
  <c r="F9" i="12"/>
  <c r="F10" i="12"/>
  <c r="F14" i="12"/>
  <c r="F15" i="12"/>
  <c r="F16" i="12"/>
  <c r="F17" i="12"/>
  <c r="F18" i="12"/>
  <c r="F6" i="13"/>
  <c r="F7" i="13"/>
  <c r="F8" i="13"/>
  <c r="F9" i="13"/>
  <c r="F10" i="13"/>
  <c r="F14" i="13"/>
  <c r="F15" i="13"/>
  <c r="F16" i="13"/>
  <c r="F17" i="13"/>
  <c r="F18" i="13"/>
  <c r="F6" i="14"/>
  <c r="F7" i="14"/>
  <c r="F8" i="14"/>
  <c r="F9" i="14"/>
  <c r="F10" i="14"/>
  <c r="F14" i="14"/>
  <c r="F15" i="14"/>
  <c r="F16" i="14"/>
  <c r="F17" i="14"/>
  <c r="F18" i="14"/>
  <c r="F6" i="45"/>
  <c r="F7" i="45"/>
  <c r="F8" i="45"/>
  <c r="F9" i="45"/>
  <c r="F10" i="45"/>
  <c r="F14" i="45"/>
  <c r="F15" i="45"/>
  <c r="F16" i="45"/>
  <c r="F17" i="45"/>
  <c r="F18" i="45"/>
  <c r="B29" i="11"/>
  <c r="B31" i="11"/>
  <c r="B28" i="12"/>
  <c r="B30" i="12"/>
  <c r="B29" i="12"/>
  <c r="B28" i="13"/>
  <c r="B30" i="13"/>
  <c r="B28" i="14"/>
  <c r="B30" i="14"/>
  <c r="B28" i="45"/>
  <c r="B30" i="45"/>
  <c r="B31" i="45"/>
  <c r="C46" i="10"/>
  <c r="C46" i="11"/>
  <c r="C45" i="12"/>
  <c r="C45" i="13"/>
  <c r="C45" i="14"/>
  <c r="C45" i="45"/>
  <c r="B56" i="10"/>
  <c r="B56" i="11"/>
  <c r="B55" i="12"/>
  <c r="B55" i="13"/>
  <c r="B55" i="14"/>
  <c r="B55" i="45"/>
  <c r="B66" i="10"/>
  <c r="B66" i="11"/>
  <c r="B65" i="12"/>
  <c r="B65" i="13"/>
  <c r="B65" i="45"/>
  <c r="B65" i="14"/>
  <c r="N7" i="1"/>
  <c r="N6" i="1"/>
  <c r="N5" i="1"/>
  <c r="N4" i="1"/>
  <c r="N3" i="1"/>
  <c r="I29" i="10"/>
  <c r="I31" i="10"/>
  <c r="I32" i="10"/>
  <c r="C8" i="1"/>
  <c r="I30" i="10"/>
  <c r="I29" i="35"/>
  <c r="I31" i="35"/>
  <c r="C9" i="1"/>
  <c r="I30" i="35"/>
  <c r="I29" i="36"/>
  <c r="I31" i="36"/>
  <c r="C10" i="1"/>
  <c r="I30" i="36"/>
  <c r="I29" i="37"/>
  <c r="I31" i="37"/>
  <c r="D30" i="2"/>
  <c r="F5" i="31"/>
  <c r="F6" i="31"/>
  <c r="F7" i="31"/>
  <c r="F8" i="31"/>
  <c r="F9" i="31"/>
  <c r="F10" i="31"/>
  <c r="F11" i="31"/>
  <c r="F12" i="31"/>
  <c r="F13" i="31"/>
  <c r="F14" i="31"/>
  <c r="F15" i="31"/>
  <c r="F16" i="31"/>
  <c r="F17" i="31"/>
  <c r="F18" i="31"/>
  <c r="F19" i="31"/>
  <c r="F20" i="31"/>
  <c r="F21" i="31"/>
  <c r="F22" i="31"/>
  <c r="F23" i="31"/>
  <c r="F24" i="31"/>
  <c r="F25" i="31"/>
  <c r="F26" i="31"/>
  <c r="F27" i="31"/>
  <c r="F28" i="31"/>
  <c r="F29" i="31"/>
  <c r="F5" i="30"/>
  <c r="F6" i="30"/>
  <c r="F7" i="30"/>
  <c r="F8" i="30"/>
  <c r="F9" i="30"/>
  <c r="F10" i="30"/>
  <c r="F11" i="30"/>
  <c r="F12" i="30"/>
  <c r="F13" i="30"/>
  <c r="F14" i="30"/>
  <c r="F15" i="30"/>
  <c r="F16" i="30"/>
  <c r="F17" i="30"/>
  <c r="F18" i="30"/>
  <c r="F19" i="30"/>
  <c r="F20" i="30"/>
  <c r="F21" i="30"/>
  <c r="F22" i="30"/>
  <c r="F23" i="30"/>
  <c r="F24" i="30"/>
  <c r="F25" i="30"/>
  <c r="F26" i="30"/>
  <c r="F27" i="30"/>
  <c r="F28" i="30"/>
  <c r="F29" i="30"/>
  <c r="D30" i="30"/>
  <c r="D11" i="1"/>
  <c r="F5" i="29"/>
  <c r="F6" i="29"/>
  <c r="F7" i="29"/>
  <c r="F8" i="29"/>
  <c r="F9" i="29"/>
  <c r="F10" i="29"/>
  <c r="F11" i="29"/>
  <c r="F12" i="29"/>
  <c r="F13" i="29"/>
  <c r="F14" i="29"/>
  <c r="F15" i="29"/>
  <c r="F16" i="29"/>
  <c r="F17" i="29"/>
  <c r="F18" i="29"/>
  <c r="F19" i="29"/>
  <c r="F20" i="29"/>
  <c r="F21" i="29"/>
  <c r="F22" i="29"/>
  <c r="F23" i="29"/>
  <c r="F24" i="29"/>
  <c r="F25" i="29"/>
  <c r="F26" i="29"/>
  <c r="F27" i="29"/>
  <c r="F28" i="29"/>
  <c r="F29" i="29"/>
  <c r="D30" i="29"/>
  <c r="D31" i="29"/>
  <c r="F5" i="20"/>
  <c r="F6" i="20"/>
  <c r="F7" i="20"/>
  <c r="F8" i="20"/>
  <c r="F9" i="20"/>
  <c r="F10" i="20"/>
  <c r="F11" i="20"/>
  <c r="F12" i="20"/>
  <c r="F13" i="20"/>
  <c r="F14" i="20"/>
  <c r="F15" i="20"/>
  <c r="F16" i="20"/>
  <c r="F17" i="20"/>
  <c r="F18" i="20"/>
  <c r="F19" i="20"/>
  <c r="F20" i="20"/>
  <c r="F21" i="20"/>
  <c r="F22" i="20"/>
  <c r="F23" i="20"/>
  <c r="F24" i="20"/>
  <c r="F25" i="20"/>
  <c r="F26" i="20"/>
  <c r="F27" i="20"/>
  <c r="F28" i="20"/>
  <c r="F29" i="20"/>
  <c r="M5" i="20"/>
  <c r="M6" i="20"/>
  <c r="M7" i="20"/>
  <c r="M8" i="20"/>
  <c r="M9" i="20"/>
  <c r="M10" i="20"/>
  <c r="M11" i="20"/>
  <c r="M12" i="20"/>
  <c r="M13" i="20"/>
  <c r="M14" i="20"/>
  <c r="M15" i="20"/>
  <c r="M16" i="20"/>
  <c r="M17" i="20"/>
  <c r="M18" i="20"/>
  <c r="M19" i="20"/>
  <c r="M20" i="20"/>
  <c r="M21" i="20"/>
  <c r="M22" i="20"/>
  <c r="M23" i="20"/>
  <c r="M24" i="20"/>
  <c r="M25" i="20"/>
  <c r="M26" i="20"/>
  <c r="M27" i="20"/>
  <c r="M28" i="20"/>
  <c r="M29" i="20"/>
  <c r="N4" i="21"/>
  <c r="N75" i="21"/>
  <c r="N62" i="21"/>
  <c r="J6" i="1"/>
  <c r="J3" i="1"/>
  <c r="D30" i="20"/>
  <c r="D31" i="20"/>
  <c r="K30" i="20"/>
  <c r="K31" i="20"/>
  <c r="J4" i="21"/>
  <c r="J75" i="21"/>
  <c r="J73" i="21"/>
  <c r="H6" i="1"/>
  <c r="H3" i="1"/>
  <c r="F4" i="21"/>
  <c r="F5" i="21"/>
  <c r="I29" i="11"/>
  <c r="I31" i="11"/>
  <c r="F7" i="37"/>
  <c r="F8" i="37"/>
  <c r="F9" i="37"/>
  <c r="F10" i="37"/>
  <c r="F11" i="37"/>
  <c r="F15" i="37"/>
  <c r="F16" i="37"/>
  <c r="F17" i="37"/>
  <c r="F18" i="37"/>
  <c r="F19" i="37"/>
  <c r="F7" i="36"/>
  <c r="F8" i="36"/>
  <c r="F9" i="36"/>
  <c r="F10" i="36"/>
  <c r="F11" i="36"/>
  <c r="F15" i="36"/>
  <c r="F16" i="36"/>
  <c r="F17" i="36"/>
  <c r="F18" i="36"/>
  <c r="F19" i="36"/>
  <c r="M7" i="35"/>
  <c r="M8" i="35"/>
  <c r="M9" i="35"/>
  <c r="M10" i="35"/>
  <c r="M11" i="35"/>
  <c r="M15" i="35"/>
  <c r="M16" i="35"/>
  <c r="M17" i="35"/>
  <c r="M18" i="35"/>
  <c r="M19" i="35"/>
  <c r="M7" i="10"/>
  <c r="M8" i="10"/>
  <c r="M9" i="10"/>
  <c r="M10" i="10"/>
  <c r="M11" i="10"/>
  <c r="M15" i="10"/>
  <c r="M16" i="10"/>
  <c r="M17" i="10"/>
  <c r="M18" i="10"/>
  <c r="M19" i="10"/>
  <c r="M7" i="11"/>
  <c r="M8" i="11"/>
  <c r="M9" i="11"/>
  <c r="M10" i="11"/>
  <c r="M11" i="11"/>
  <c r="M15" i="11"/>
  <c r="M16" i="11"/>
  <c r="M17" i="11"/>
  <c r="M18" i="11"/>
  <c r="M19" i="11"/>
  <c r="C46" i="37"/>
  <c r="C46" i="36"/>
  <c r="J46" i="35"/>
  <c r="J46" i="10"/>
  <c r="J46" i="11"/>
  <c r="B56" i="37"/>
  <c r="B56" i="36"/>
  <c r="I56" i="35"/>
  <c r="I56" i="10"/>
  <c r="I56" i="11"/>
  <c r="I66" i="10"/>
  <c r="I66" i="11"/>
  <c r="J7" i="1"/>
  <c r="H7" i="1"/>
  <c r="B4" i="21"/>
  <c r="B5" i="21"/>
  <c r="F7" i="35"/>
  <c r="F8" i="35"/>
  <c r="F9" i="35"/>
  <c r="F10" i="35"/>
  <c r="F11" i="35"/>
  <c r="F15" i="35"/>
  <c r="F16" i="35"/>
  <c r="F17" i="35"/>
  <c r="F18" i="35"/>
  <c r="F19" i="35"/>
  <c r="C46" i="35"/>
  <c r="B56" i="35"/>
  <c r="B66" i="36"/>
  <c r="B66" i="35"/>
  <c r="B30" i="11"/>
  <c r="B29" i="45"/>
  <c r="E19" i="45"/>
  <c r="D19" i="45"/>
  <c r="E11" i="45"/>
  <c r="D11" i="45"/>
  <c r="O12" i="1"/>
  <c r="O11" i="1"/>
  <c r="C11" i="1"/>
  <c r="I30" i="37"/>
  <c r="B29" i="13"/>
  <c r="C12" i="1"/>
  <c r="B12" i="1"/>
  <c r="B11" i="1"/>
  <c r="B10" i="1"/>
  <c r="B9" i="1"/>
  <c r="H5" i="1"/>
  <c r="N12" i="1"/>
  <c r="N11" i="1"/>
  <c r="N10" i="1"/>
  <c r="I66" i="37"/>
  <c r="B66" i="37"/>
  <c r="I56" i="37"/>
  <c r="J46" i="37"/>
  <c r="L20" i="37"/>
  <c r="K20" i="37"/>
  <c r="E20" i="37"/>
  <c r="D20" i="37"/>
  <c r="M19" i="37"/>
  <c r="M18" i="37"/>
  <c r="M17" i="37"/>
  <c r="M16" i="37"/>
  <c r="M15" i="37"/>
  <c r="L12" i="37"/>
  <c r="K12" i="37"/>
  <c r="E12" i="37"/>
  <c r="D12" i="37"/>
  <c r="M11" i="37"/>
  <c r="M10" i="37"/>
  <c r="M9" i="37"/>
  <c r="M8" i="37"/>
  <c r="M7" i="37"/>
  <c r="I66" i="36"/>
  <c r="I56" i="36"/>
  <c r="J46" i="36"/>
  <c r="L20" i="36"/>
  <c r="K20" i="36"/>
  <c r="E20" i="36"/>
  <c r="D20" i="36"/>
  <c r="M19" i="36"/>
  <c r="M18" i="36"/>
  <c r="M17" i="36"/>
  <c r="M16" i="36"/>
  <c r="M15" i="36"/>
  <c r="L12" i="36"/>
  <c r="K12" i="36"/>
  <c r="E12" i="36"/>
  <c r="D12" i="36"/>
  <c r="M11" i="36"/>
  <c r="M10" i="36"/>
  <c r="M9" i="36"/>
  <c r="M8" i="36"/>
  <c r="M7" i="36"/>
  <c r="I66" i="35"/>
  <c r="L20" i="35"/>
  <c r="K20" i="35"/>
  <c r="E20" i="35"/>
  <c r="D20" i="35"/>
  <c r="L12" i="35"/>
  <c r="K12" i="35"/>
  <c r="E12" i="35"/>
  <c r="D12" i="35"/>
  <c r="K30" i="31"/>
  <c r="K31" i="31"/>
  <c r="M29" i="31"/>
  <c r="M28" i="31"/>
  <c r="M27" i="31"/>
  <c r="M26" i="31"/>
  <c r="M25" i="31"/>
  <c r="M24" i="31"/>
  <c r="M23" i="31"/>
  <c r="M22" i="31"/>
  <c r="M21" i="31"/>
  <c r="M20" i="31"/>
  <c r="M19" i="31"/>
  <c r="M18" i="31"/>
  <c r="M17" i="31"/>
  <c r="M16" i="31"/>
  <c r="M15" i="31"/>
  <c r="M14" i="31"/>
  <c r="M13" i="31"/>
  <c r="M12" i="31"/>
  <c r="M11" i="31"/>
  <c r="M10" i="31"/>
  <c r="M9" i="31"/>
  <c r="M8" i="31"/>
  <c r="M7" i="31"/>
  <c r="M6" i="31"/>
  <c r="M5" i="31"/>
  <c r="K30" i="30"/>
  <c r="K31" i="30"/>
  <c r="M29" i="30"/>
  <c r="M28" i="30"/>
  <c r="M27" i="30"/>
  <c r="M26" i="30"/>
  <c r="M25" i="30"/>
  <c r="M24" i="30"/>
  <c r="M23" i="30"/>
  <c r="M22" i="30"/>
  <c r="M21" i="30"/>
  <c r="M20" i="30"/>
  <c r="M19" i="30"/>
  <c r="M18" i="30"/>
  <c r="M17" i="30"/>
  <c r="M16" i="30"/>
  <c r="M15" i="30"/>
  <c r="M14" i="30"/>
  <c r="M13" i="30"/>
  <c r="M12" i="30"/>
  <c r="M11" i="30"/>
  <c r="M10" i="30"/>
  <c r="M9" i="30"/>
  <c r="M8" i="30"/>
  <c r="M7" i="30"/>
  <c r="M6" i="30"/>
  <c r="M5" i="30"/>
  <c r="K30" i="29"/>
  <c r="K31" i="29"/>
  <c r="M29" i="29"/>
  <c r="M28" i="29"/>
  <c r="M27" i="29"/>
  <c r="M26" i="29"/>
  <c r="M25" i="29"/>
  <c r="M24" i="29"/>
  <c r="M23" i="29"/>
  <c r="M22" i="29"/>
  <c r="M21" i="29"/>
  <c r="M20" i="29"/>
  <c r="M19" i="29"/>
  <c r="M18" i="29"/>
  <c r="M17" i="29"/>
  <c r="M16" i="29"/>
  <c r="M15" i="29"/>
  <c r="M14" i="29"/>
  <c r="M13" i="29"/>
  <c r="M12" i="29"/>
  <c r="M11" i="29"/>
  <c r="M10" i="29"/>
  <c r="M9" i="29"/>
  <c r="M8" i="29"/>
  <c r="M7" i="29"/>
  <c r="M6" i="29"/>
  <c r="M5" i="29"/>
  <c r="J5" i="1"/>
  <c r="B29" i="14"/>
  <c r="N9" i="1"/>
  <c r="N8" i="1"/>
  <c r="K30" i="2"/>
  <c r="K31" i="2"/>
  <c r="I30" i="11"/>
  <c r="B8" i="1"/>
  <c r="L20" i="11"/>
  <c r="K20" i="11"/>
  <c r="L12" i="11"/>
  <c r="K12" i="11"/>
  <c r="L20" i="10"/>
  <c r="K20" i="10"/>
  <c r="L12" i="10"/>
  <c r="K12" i="10"/>
  <c r="M29" i="2"/>
  <c r="M28" i="2"/>
  <c r="M27" i="2"/>
  <c r="M26" i="2"/>
  <c r="M25" i="2"/>
  <c r="M24" i="2"/>
  <c r="M23" i="2"/>
  <c r="M22" i="2"/>
  <c r="M21" i="2"/>
  <c r="M20" i="2"/>
  <c r="M19" i="2"/>
  <c r="M18" i="2"/>
  <c r="M17" i="2"/>
  <c r="M16" i="2"/>
  <c r="M15" i="2"/>
  <c r="M14" i="2"/>
  <c r="M13" i="2"/>
  <c r="M12" i="2"/>
  <c r="M11" i="2"/>
  <c r="M10" i="2"/>
  <c r="M9" i="2"/>
  <c r="M8" i="2"/>
  <c r="M7" i="2"/>
  <c r="M6" i="2"/>
  <c r="M5" i="2"/>
  <c r="J4" i="1"/>
  <c r="H4" i="1"/>
  <c r="E19" i="14"/>
  <c r="D19" i="14"/>
  <c r="E11" i="14"/>
  <c r="D11" i="14"/>
  <c r="E19" i="13"/>
  <c r="D19" i="13"/>
  <c r="E11" i="13"/>
  <c r="D11" i="13"/>
  <c r="E19" i="12"/>
  <c r="D19" i="12"/>
  <c r="E11" i="12"/>
  <c r="D11" i="12"/>
  <c r="E20" i="11"/>
  <c r="D20" i="11"/>
  <c r="E12" i="11"/>
  <c r="D12" i="11"/>
  <c r="E20" i="10"/>
  <c r="D20" i="10"/>
  <c r="E12" i="10"/>
  <c r="D12" i="10"/>
  <c r="D8" i="1"/>
  <c r="B6" i="21"/>
  <c r="C6" i="21"/>
  <c r="D31" i="2"/>
  <c r="C33" i="14"/>
  <c r="B35" i="11"/>
  <c r="A17" i="43"/>
  <c r="F12" i="11"/>
  <c r="B9" i="43"/>
  <c r="D31" i="30"/>
  <c r="H11" i="1"/>
  <c r="M12" i="35"/>
  <c r="F20" i="11"/>
  <c r="F21" i="11"/>
  <c r="F19" i="13"/>
  <c r="F19" i="12"/>
  <c r="I34" i="37"/>
  <c r="H25" i="37"/>
  <c r="D31" i="31"/>
  <c r="B6" i="7"/>
  <c r="C6" i="7"/>
  <c r="C9" i="7"/>
  <c r="F11" i="45"/>
  <c r="M30" i="20"/>
  <c r="M31" i="20"/>
  <c r="D10" i="1"/>
  <c r="B6" i="38"/>
  <c r="C6" i="38"/>
  <c r="B9" i="38"/>
  <c r="C30" i="13"/>
  <c r="B33" i="13"/>
  <c r="C34" i="13"/>
  <c r="B31" i="13"/>
  <c r="C33" i="13"/>
  <c r="A24" i="13"/>
  <c r="B34" i="13"/>
  <c r="F20" i="37"/>
  <c r="B6" i="41"/>
  <c r="C6" i="41"/>
  <c r="C11" i="41"/>
  <c r="J34" i="37"/>
  <c r="B32" i="36"/>
  <c r="I32" i="37"/>
  <c r="M20" i="10"/>
  <c r="J35" i="37"/>
  <c r="I35" i="37"/>
  <c r="J6" i="41"/>
  <c r="K6" i="41"/>
  <c r="I55" i="41"/>
  <c r="J55" i="41"/>
  <c r="J31" i="37"/>
  <c r="D12" i="1"/>
  <c r="M12" i="37"/>
  <c r="M20" i="11"/>
  <c r="C34" i="37"/>
  <c r="B32" i="37"/>
  <c r="A25" i="37"/>
  <c r="B35" i="37"/>
  <c r="C35" i="37"/>
  <c r="C31" i="37"/>
  <c r="D9" i="1"/>
  <c r="J5" i="21"/>
  <c r="J62" i="21"/>
  <c r="M30" i="30"/>
  <c r="M31" i="30"/>
  <c r="M30" i="31"/>
  <c r="M31" i="31"/>
  <c r="M12" i="36"/>
  <c r="M20" i="36"/>
  <c r="M20" i="37"/>
  <c r="F20" i="35"/>
  <c r="F12" i="35"/>
  <c r="M12" i="11"/>
  <c r="M12" i="10"/>
  <c r="M20" i="35"/>
  <c r="M21" i="35"/>
  <c r="F20" i="36"/>
  <c r="F12" i="36"/>
  <c r="F21" i="36"/>
  <c r="F12" i="37"/>
  <c r="F21" i="37"/>
  <c r="B17" i="43"/>
  <c r="F30" i="29"/>
  <c r="F31" i="29"/>
  <c r="N5" i="21"/>
  <c r="N73" i="21"/>
  <c r="M30" i="29"/>
  <c r="F10" i="1"/>
  <c r="M30" i="2"/>
  <c r="F6" i="7"/>
  <c r="G6" i="7"/>
  <c r="E17" i="7"/>
  <c r="F19" i="45"/>
  <c r="F19" i="14"/>
  <c r="F11" i="14"/>
  <c r="F11" i="13"/>
  <c r="F20" i="13"/>
  <c r="F11" i="12"/>
  <c r="F20" i="12"/>
  <c r="F20" i="10"/>
  <c r="F12" i="10"/>
  <c r="I55" i="21"/>
  <c r="J55" i="21"/>
  <c r="D9" i="21"/>
  <c r="A65" i="21"/>
  <c r="B65" i="21"/>
  <c r="A38" i="21"/>
  <c r="B38" i="21"/>
  <c r="A25" i="21"/>
  <c r="B25" i="21"/>
  <c r="A26" i="21"/>
  <c r="B26" i="21"/>
  <c r="B11" i="21"/>
  <c r="A68" i="21"/>
  <c r="B68" i="21"/>
  <c r="D11" i="21"/>
  <c r="A58" i="21"/>
  <c r="B58" i="21"/>
  <c r="B7" i="21"/>
  <c r="C11" i="21"/>
  <c r="A48" i="21"/>
  <c r="B48" i="21"/>
  <c r="A40" i="21"/>
  <c r="B40" i="21"/>
  <c r="B9" i="21"/>
  <c r="D6" i="21"/>
  <c r="C9" i="21"/>
  <c r="A28" i="21"/>
  <c r="B28" i="21"/>
  <c r="E8" i="1"/>
  <c r="A47" i="21"/>
  <c r="B47" i="21"/>
  <c r="A66" i="21"/>
  <c r="B66" i="21"/>
  <c r="A49" i="21"/>
  <c r="B49" i="21"/>
  <c r="M55" i="21"/>
  <c r="N55" i="21"/>
  <c r="A37" i="21"/>
  <c r="B37" i="21"/>
  <c r="A39" i="21"/>
  <c r="B39" i="21"/>
  <c r="A56" i="21"/>
  <c r="B56" i="21"/>
  <c r="A21" i="21"/>
  <c r="A41" i="21"/>
  <c r="B41" i="21"/>
  <c r="A27" i="21"/>
  <c r="B27" i="21"/>
  <c r="A18" i="21"/>
  <c r="A17" i="21"/>
  <c r="A29" i="21"/>
  <c r="B29" i="21"/>
  <c r="A55" i="21"/>
  <c r="B55" i="21"/>
  <c r="A20" i="21"/>
  <c r="A50" i="21"/>
  <c r="B50" i="21"/>
  <c r="A59" i="21"/>
  <c r="B59" i="21"/>
  <c r="A67" i="21"/>
  <c r="B67" i="21"/>
  <c r="A57" i="21"/>
  <c r="B57" i="21"/>
  <c r="A46" i="21"/>
  <c r="B46" i="21"/>
  <c r="E55" i="21"/>
  <c r="F55" i="21"/>
  <c r="A69" i="21"/>
  <c r="B69" i="21"/>
  <c r="A19" i="21"/>
  <c r="J6" i="38"/>
  <c r="K6" i="38"/>
  <c r="H10" i="1"/>
  <c r="C30" i="12"/>
  <c r="B31" i="12"/>
  <c r="C33" i="12"/>
  <c r="B33" i="12"/>
  <c r="C34" i="12"/>
  <c r="B34" i="12"/>
  <c r="A24" i="12"/>
  <c r="J34" i="36"/>
  <c r="J31" i="36"/>
  <c r="I34" i="36"/>
  <c r="I32" i="36"/>
  <c r="H25" i="36"/>
  <c r="I35" i="36"/>
  <c r="J35" i="36"/>
  <c r="C35" i="11"/>
  <c r="C31" i="11"/>
  <c r="A25" i="11"/>
  <c r="B32" i="11"/>
  <c r="C34" i="11"/>
  <c r="B34" i="11"/>
  <c r="C34" i="35"/>
  <c r="B34" i="35"/>
  <c r="B32" i="35"/>
  <c r="C31" i="35"/>
  <c r="C35" i="35"/>
  <c r="B35" i="35"/>
  <c r="A25" i="35"/>
  <c r="D9" i="7"/>
  <c r="D6" i="7"/>
  <c r="A59" i="7"/>
  <c r="B59" i="7"/>
  <c r="J6" i="7"/>
  <c r="K6" i="7"/>
  <c r="H9" i="1"/>
  <c r="J6" i="21"/>
  <c r="K6" i="21"/>
  <c r="H8" i="1"/>
  <c r="F30" i="30"/>
  <c r="F30" i="31"/>
  <c r="J31" i="10"/>
  <c r="H25" i="10"/>
  <c r="I34" i="10"/>
  <c r="J34" i="10"/>
  <c r="I35" i="10"/>
  <c r="J35" i="10"/>
  <c r="A24" i="45"/>
  <c r="B33" i="45"/>
  <c r="C33" i="45"/>
  <c r="B34" i="45"/>
  <c r="C34" i="45"/>
  <c r="C30" i="45"/>
  <c r="F30" i="20"/>
  <c r="F31" i="20"/>
  <c r="F6" i="38"/>
  <c r="G6" i="38"/>
  <c r="C30" i="14"/>
  <c r="C34" i="14"/>
  <c r="A24" i="14"/>
  <c r="B31" i="14"/>
  <c r="B33" i="14"/>
  <c r="B34" i="14"/>
  <c r="B34" i="36"/>
  <c r="C35" i="36"/>
  <c r="B35" i="36"/>
  <c r="A25" i="36"/>
  <c r="C31" i="36"/>
  <c r="A17" i="41"/>
  <c r="H25" i="11"/>
  <c r="J34" i="11"/>
  <c r="J35" i="11"/>
  <c r="I32" i="11"/>
  <c r="I34" i="11"/>
  <c r="I35" i="11"/>
  <c r="F30" i="2"/>
  <c r="F31" i="2"/>
  <c r="J31" i="11"/>
  <c r="B45" i="43"/>
  <c r="I32" i="35"/>
  <c r="J34" i="35"/>
  <c r="I34" i="35"/>
  <c r="J35" i="35"/>
  <c r="I35" i="35"/>
  <c r="H25" i="35"/>
  <c r="J31" i="35"/>
  <c r="D11" i="43"/>
  <c r="A71" i="43"/>
  <c r="B71" i="43"/>
  <c r="A85" i="43"/>
  <c r="B85" i="43"/>
  <c r="C11" i="43"/>
  <c r="A29" i="43"/>
  <c r="B29" i="43"/>
  <c r="B11" i="43"/>
  <c r="A58" i="43"/>
  <c r="B58" i="43"/>
  <c r="C9" i="43"/>
  <c r="E12" i="1"/>
  <c r="W12" i="1"/>
  <c r="D9" i="43"/>
  <c r="D6" i="43"/>
  <c r="B7" i="43"/>
  <c r="C34" i="10"/>
  <c r="B32" i="10"/>
  <c r="B34" i="10"/>
  <c r="B35" i="10"/>
  <c r="A25" i="10"/>
  <c r="C31" i="10"/>
  <c r="C35" i="10"/>
  <c r="B34" i="37"/>
  <c r="A39" i="7"/>
  <c r="B39" i="7"/>
  <c r="A76" i="38"/>
  <c r="B76" i="38"/>
  <c r="A52" i="38"/>
  <c r="B52" i="38"/>
  <c r="I17" i="41"/>
  <c r="B11" i="7"/>
  <c r="J9" i="41"/>
  <c r="I81" i="41"/>
  <c r="J81" i="41"/>
  <c r="A70" i="7"/>
  <c r="B70" i="7"/>
  <c r="B7" i="38"/>
  <c r="F20" i="45"/>
  <c r="E26" i="7"/>
  <c r="F26" i="7"/>
  <c r="F21" i="10"/>
  <c r="M21" i="37"/>
  <c r="F20" i="14"/>
  <c r="A63" i="38"/>
  <c r="B63" i="38"/>
  <c r="D11" i="38"/>
  <c r="A28" i="41"/>
  <c r="B28" i="41"/>
  <c r="M31" i="29"/>
  <c r="J10" i="1"/>
  <c r="B9" i="7"/>
  <c r="A17" i="7"/>
  <c r="A41" i="38"/>
  <c r="B41" i="38"/>
  <c r="A27" i="38"/>
  <c r="B27" i="38"/>
  <c r="B11" i="38"/>
  <c r="E10" i="1"/>
  <c r="W10" i="1"/>
  <c r="B7" i="41"/>
  <c r="B11" i="41"/>
  <c r="D11" i="7"/>
  <c r="A49" i="7"/>
  <c r="B49" i="7"/>
  <c r="C9" i="38"/>
  <c r="A64" i="38"/>
  <c r="B64" i="38"/>
  <c r="D6" i="38"/>
  <c r="C11" i="7"/>
  <c r="A26" i="7"/>
  <c r="B26" i="7"/>
  <c r="E9" i="1"/>
  <c r="B4" i="38"/>
  <c r="A75" i="38"/>
  <c r="B75" i="38"/>
  <c r="F21" i="35"/>
  <c r="F6" i="21"/>
  <c r="G6" i="21"/>
  <c r="H6" i="21"/>
  <c r="H12" i="1"/>
  <c r="J6" i="43"/>
  <c r="K6" i="43"/>
  <c r="D9" i="38"/>
  <c r="C11" i="38"/>
  <c r="F8" i="1"/>
  <c r="B7" i="7"/>
  <c r="A17" i="38"/>
  <c r="B17" i="38"/>
  <c r="I67" i="41"/>
  <c r="J67" i="41"/>
  <c r="K9" i="41"/>
  <c r="C9" i="41"/>
  <c r="B9" i="41"/>
  <c r="A80" i="41"/>
  <c r="B80" i="41"/>
  <c r="B21" i="21"/>
  <c r="M21" i="10"/>
  <c r="F17" i="7"/>
  <c r="D6" i="41"/>
  <c r="L11" i="41"/>
  <c r="K11" i="41"/>
  <c r="I28" i="41"/>
  <c r="J28" i="41"/>
  <c r="E11" i="1"/>
  <c r="W11" i="1"/>
  <c r="A55" i="41"/>
  <c r="B55" i="41"/>
  <c r="A43" i="41"/>
  <c r="B43" i="41"/>
  <c r="D11" i="41"/>
  <c r="J17" i="41"/>
  <c r="B18" i="21"/>
  <c r="J8" i="41"/>
  <c r="M21" i="11"/>
  <c r="L9" i="41"/>
  <c r="I43" i="41"/>
  <c r="J43" i="41"/>
  <c r="A67" i="41"/>
  <c r="B67" i="41"/>
  <c r="D9" i="41"/>
  <c r="J7" i="41"/>
  <c r="L6" i="41"/>
  <c r="J11" i="41"/>
  <c r="I11" i="1"/>
  <c r="Y11" i="1"/>
  <c r="J8" i="1"/>
  <c r="N6" i="21"/>
  <c r="O6" i="21"/>
  <c r="E70" i="7"/>
  <c r="F70" i="7"/>
  <c r="I59" i="7"/>
  <c r="J59" i="7"/>
  <c r="F9" i="1"/>
  <c r="F11" i="7"/>
  <c r="E49" i="7"/>
  <c r="F49" i="7"/>
  <c r="M59" i="7"/>
  <c r="N59" i="7"/>
  <c r="E59" i="7"/>
  <c r="F59" i="7"/>
  <c r="F7" i="7"/>
  <c r="H6" i="7"/>
  <c r="F9" i="7"/>
  <c r="H11" i="7"/>
  <c r="G9" i="7"/>
  <c r="G9" i="1"/>
  <c r="M31" i="2"/>
  <c r="J9" i="1"/>
  <c r="H9" i="7"/>
  <c r="G11" i="7"/>
  <c r="E39" i="7"/>
  <c r="F39" i="7"/>
  <c r="M21" i="36"/>
  <c r="B17" i="41"/>
  <c r="L11" i="38"/>
  <c r="I77" i="38"/>
  <c r="J77" i="38"/>
  <c r="I52" i="38"/>
  <c r="J52" i="38"/>
  <c r="K9" i="38"/>
  <c r="L9" i="38"/>
  <c r="K11" i="38"/>
  <c r="I41" i="38"/>
  <c r="J41" i="38"/>
  <c r="I27" i="38"/>
  <c r="J27" i="38"/>
  <c r="J9" i="38"/>
  <c r="I17" i="38"/>
  <c r="J17" i="38"/>
  <c r="J7" i="38"/>
  <c r="J8" i="38"/>
  <c r="I76" i="38"/>
  <c r="J76" i="38"/>
  <c r="I10" i="1"/>
  <c r="Y10" i="1"/>
  <c r="L6" i="38"/>
  <c r="J11" i="38"/>
  <c r="I63" i="38"/>
  <c r="J63" i="38"/>
  <c r="B19" i="21"/>
  <c r="J9" i="7"/>
  <c r="I39" i="7"/>
  <c r="J39" i="7"/>
  <c r="L11" i="7"/>
  <c r="I26" i="7"/>
  <c r="J26" i="7"/>
  <c r="J11" i="7"/>
  <c r="L6" i="7"/>
  <c r="L9" i="7"/>
  <c r="I49" i="7"/>
  <c r="J49" i="7"/>
  <c r="I71" i="7"/>
  <c r="J71" i="7"/>
  <c r="J7" i="7"/>
  <c r="I17" i="7"/>
  <c r="K9" i="7"/>
  <c r="I9" i="1"/>
  <c r="Y9" i="1"/>
  <c r="J8" i="7"/>
  <c r="K11" i="7"/>
  <c r="G11" i="38"/>
  <c r="E27" i="38"/>
  <c r="F27" i="38"/>
  <c r="H11" i="38"/>
  <c r="G10" i="1"/>
  <c r="F9" i="38"/>
  <c r="H6" i="38"/>
  <c r="E52" i="38"/>
  <c r="F52" i="38"/>
  <c r="H9" i="38"/>
  <c r="E41" i="38"/>
  <c r="F41" i="38"/>
  <c r="E76" i="38"/>
  <c r="F76" i="38"/>
  <c r="F11" i="38"/>
  <c r="E75" i="38"/>
  <c r="F75" i="38"/>
  <c r="E17" i="38"/>
  <c r="F17" i="38"/>
  <c r="F7" i="38"/>
  <c r="G9" i="38"/>
  <c r="E63" i="38"/>
  <c r="F63" i="38"/>
  <c r="F12" i="1"/>
  <c r="F6" i="43"/>
  <c r="G6" i="43"/>
  <c r="F31" i="31"/>
  <c r="B20" i="21"/>
  <c r="B4" i="41"/>
  <c r="W8" i="1"/>
  <c r="B4" i="7"/>
  <c r="B71" i="21"/>
  <c r="B10" i="21"/>
  <c r="N6" i="38"/>
  <c r="O6" i="38"/>
  <c r="F31" i="30"/>
  <c r="F6" i="41"/>
  <c r="G6" i="41"/>
  <c r="F11" i="1"/>
  <c r="N6" i="7"/>
  <c r="O6" i="7"/>
  <c r="I40" i="21"/>
  <c r="J40" i="21"/>
  <c r="I47" i="21"/>
  <c r="J47" i="21"/>
  <c r="I57" i="21"/>
  <c r="J57" i="21"/>
  <c r="I58" i="21"/>
  <c r="J58" i="21"/>
  <c r="I49" i="21"/>
  <c r="J49" i="21"/>
  <c r="I48" i="21"/>
  <c r="J48" i="21"/>
  <c r="I56" i="21"/>
  <c r="J56" i="21"/>
  <c r="I17" i="21"/>
  <c r="I20" i="21"/>
  <c r="J20" i="21"/>
  <c r="I70" i="21"/>
  <c r="J70" i="21"/>
  <c r="I18" i="21"/>
  <c r="J18" i="21"/>
  <c r="I69" i="21"/>
  <c r="J69" i="21"/>
  <c r="I26" i="21"/>
  <c r="J26" i="21"/>
  <c r="I19" i="21"/>
  <c r="J19" i="21"/>
  <c r="I46" i="21"/>
  <c r="J46" i="21"/>
  <c r="J8" i="21"/>
  <c r="I41" i="21"/>
  <c r="J41" i="21"/>
  <c r="I21" i="21"/>
  <c r="J21" i="21"/>
  <c r="K9" i="21"/>
  <c r="J10" i="21"/>
  <c r="K11" i="21"/>
  <c r="I50" i="21"/>
  <c r="J50" i="21"/>
  <c r="J7" i="21"/>
  <c r="I59" i="21"/>
  <c r="J59" i="21"/>
  <c r="I8" i="1"/>
  <c r="L6" i="21"/>
  <c r="I68" i="21"/>
  <c r="J68" i="21"/>
  <c r="I67" i="21"/>
  <c r="J67" i="21"/>
  <c r="I39" i="21"/>
  <c r="J39" i="21"/>
  <c r="I38" i="21"/>
  <c r="J38" i="21"/>
  <c r="I28" i="21"/>
  <c r="J28" i="21"/>
  <c r="I29" i="21"/>
  <c r="J29" i="21"/>
  <c r="L9" i="21"/>
  <c r="I25" i="21"/>
  <c r="J25" i="21"/>
  <c r="I66" i="21"/>
  <c r="J66" i="21"/>
  <c r="J9" i="21"/>
  <c r="J11" i="21"/>
  <c r="L11" i="21"/>
  <c r="I27" i="21"/>
  <c r="J27" i="21"/>
  <c r="I37" i="21"/>
  <c r="J37" i="21"/>
  <c r="B4" i="43"/>
  <c r="W9" i="1"/>
  <c r="B17" i="7"/>
  <c r="E58" i="21"/>
  <c r="F58" i="21"/>
  <c r="E66" i="21"/>
  <c r="F66" i="21"/>
  <c r="E25" i="21"/>
  <c r="F25" i="21"/>
  <c r="E65" i="21"/>
  <c r="F65" i="21"/>
  <c r="G9" i="21"/>
  <c r="E28" i="21"/>
  <c r="F28" i="21"/>
  <c r="H11" i="21"/>
  <c r="F11" i="21"/>
  <c r="E17" i="21"/>
  <c r="F17" i="21"/>
  <c r="E37" i="21"/>
  <c r="F37" i="21"/>
  <c r="E26" i="21"/>
  <c r="F26" i="21"/>
  <c r="G8" i="1"/>
  <c r="F4" i="7"/>
  <c r="E59" i="21"/>
  <c r="F59" i="21"/>
  <c r="G11" i="21"/>
  <c r="E46" i="21"/>
  <c r="F46" i="21"/>
  <c r="E27" i="21"/>
  <c r="F27" i="21"/>
  <c r="E48" i="21"/>
  <c r="F48" i="21"/>
  <c r="F9" i="21"/>
  <c r="E40" i="21"/>
  <c r="F40" i="21"/>
  <c r="E19" i="21"/>
  <c r="F19" i="21"/>
  <c r="J7" i="43"/>
  <c r="J9" i="43"/>
  <c r="L9" i="43"/>
  <c r="I71" i="43"/>
  <c r="J71" i="43"/>
  <c r="K11" i="43"/>
  <c r="I86" i="43"/>
  <c r="J86" i="43"/>
  <c r="I12" i="1"/>
  <c r="Y12" i="1"/>
  <c r="L11" i="43"/>
  <c r="I45" i="43"/>
  <c r="J45" i="43"/>
  <c r="J11" i="43"/>
  <c r="I58" i="43"/>
  <c r="J58" i="43"/>
  <c r="L6" i="43"/>
  <c r="J8" i="43"/>
  <c r="I29" i="43"/>
  <c r="J29" i="43"/>
  <c r="K9" i="43"/>
  <c r="I17" i="43"/>
  <c r="J17" i="43"/>
  <c r="E56" i="21"/>
  <c r="F56" i="21"/>
  <c r="E29" i="21"/>
  <c r="F29" i="21"/>
  <c r="E69" i="21"/>
  <c r="F69" i="21"/>
  <c r="E41" i="21"/>
  <c r="F41" i="21"/>
  <c r="E38" i="21"/>
  <c r="F38" i="21"/>
  <c r="E21" i="21"/>
  <c r="F21" i="21"/>
  <c r="E68" i="21"/>
  <c r="F68" i="21"/>
  <c r="E39" i="21"/>
  <c r="F39" i="21"/>
  <c r="E57" i="21"/>
  <c r="F57" i="21"/>
  <c r="E47" i="21"/>
  <c r="F47" i="21"/>
  <c r="E50" i="21"/>
  <c r="F50" i="21"/>
  <c r="E18" i="21"/>
  <c r="F18" i="21"/>
  <c r="E67" i="21"/>
  <c r="F67" i="21"/>
  <c r="F7" i="21"/>
  <c r="E20" i="21"/>
  <c r="F20" i="21"/>
  <c r="J17" i="7"/>
  <c r="E49" i="21"/>
  <c r="F49" i="21"/>
  <c r="H9" i="21"/>
  <c r="J17" i="21"/>
  <c r="N9" i="21"/>
  <c r="O9" i="21"/>
  <c r="N10" i="21"/>
  <c r="O11" i="21"/>
  <c r="M46" i="21"/>
  <c r="N46" i="21"/>
  <c r="M37" i="21"/>
  <c r="N37" i="21"/>
  <c r="M25" i="21"/>
  <c r="N25" i="21"/>
  <c r="P11" i="21"/>
  <c r="P6" i="21"/>
  <c r="N7" i="21"/>
  <c r="N11" i="21"/>
  <c r="P9" i="21"/>
  <c r="N8" i="21"/>
  <c r="M17" i="21"/>
  <c r="N17" i="21"/>
  <c r="M66" i="21"/>
  <c r="N66" i="21"/>
  <c r="M56" i="21"/>
  <c r="N56" i="21"/>
  <c r="M67" i="21"/>
  <c r="N67" i="21"/>
  <c r="M48" i="21"/>
  <c r="N48" i="21"/>
  <c r="M47" i="21"/>
  <c r="N47" i="21"/>
  <c r="M49" i="21"/>
  <c r="N49" i="21"/>
  <c r="M59" i="21"/>
  <c r="N59" i="21"/>
  <c r="M39" i="21"/>
  <c r="N39" i="21"/>
  <c r="M26" i="21"/>
  <c r="N26" i="21"/>
  <c r="M57" i="21"/>
  <c r="N57" i="21"/>
  <c r="M69" i="21"/>
  <c r="N69" i="21"/>
  <c r="M27" i="21"/>
  <c r="N27" i="21"/>
  <c r="M38" i="21"/>
  <c r="N38" i="21"/>
  <c r="M28" i="21"/>
  <c r="N28" i="21"/>
  <c r="M58" i="21"/>
  <c r="N58" i="21"/>
  <c r="M19" i="21"/>
  <c r="N19" i="21"/>
  <c r="M29" i="21"/>
  <c r="N29" i="21"/>
  <c r="K8" i="1"/>
  <c r="M70" i="21"/>
  <c r="N70" i="21"/>
  <c r="M20" i="21"/>
  <c r="N20" i="21"/>
  <c r="M40" i="21"/>
  <c r="N40" i="21"/>
  <c r="M68" i="21"/>
  <c r="N68" i="21"/>
  <c r="M41" i="21"/>
  <c r="N41" i="21"/>
  <c r="M50" i="21"/>
  <c r="N50" i="21"/>
  <c r="M21" i="21"/>
  <c r="N21" i="21"/>
  <c r="M18" i="21"/>
  <c r="N18" i="21"/>
  <c r="B17" i="21"/>
  <c r="B61" i="21"/>
  <c r="B8" i="21"/>
  <c r="J61" i="21"/>
  <c r="X9" i="1"/>
  <c r="F4" i="41"/>
  <c r="F5" i="41"/>
  <c r="B5" i="7"/>
  <c r="A29" i="7"/>
  <c r="B29" i="7"/>
  <c r="A62" i="7"/>
  <c r="B62" i="7"/>
  <c r="A19" i="7"/>
  <c r="B19" i="7"/>
  <c r="A53" i="7"/>
  <c r="B53" i="7"/>
  <c r="A18" i="7"/>
  <c r="B18" i="7"/>
  <c r="A42" i="7"/>
  <c r="B42" i="7"/>
  <c r="A21" i="7"/>
  <c r="B21" i="7"/>
  <c r="A27" i="7"/>
  <c r="B27" i="7"/>
  <c r="A30" i="7"/>
  <c r="B30" i="7"/>
  <c r="A40" i="7"/>
  <c r="B40" i="7"/>
  <c r="A61" i="7"/>
  <c r="B61" i="7"/>
  <c r="A41" i="7"/>
  <c r="B41" i="7"/>
  <c r="A73" i="7"/>
  <c r="B73" i="7"/>
  <c r="A20" i="7"/>
  <c r="B20" i="7"/>
  <c r="A43" i="7"/>
  <c r="B43" i="7"/>
  <c r="A44" i="7"/>
  <c r="B44" i="7"/>
  <c r="A54" i="7"/>
  <c r="B54" i="7"/>
  <c r="A50" i="7"/>
  <c r="B50" i="7"/>
  <c r="A51" i="7"/>
  <c r="B51" i="7"/>
  <c r="A63" i="7"/>
  <c r="B63" i="7"/>
  <c r="A28" i="7"/>
  <c r="B28" i="7"/>
  <c r="A71" i="7"/>
  <c r="B71" i="7"/>
  <c r="A74" i="7"/>
  <c r="B74" i="7"/>
  <c r="A52" i="7"/>
  <c r="B52" i="7"/>
  <c r="A60" i="7"/>
  <c r="B60" i="7"/>
  <c r="A75" i="7"/>
  <c r="B75" i="7"/>
  <c r="A22" i="7"/>
  <c r="B22" i="7"/>
  <c r="A64" i="7"/>
  <c r="B64" i="7"/>
  <c r="A31" i="7"/>
  <c r="B31" i="7"/>
  <c r="A72" i="7"/>
  <c r="B72" i="7"/>
  <c r="J4" i="38"/>
  <c r="J4" i="41"/>
  <c r="Y8" i="1"/>
  <c r="J4" i="7"/>
  <c r="J4" i="43"/>
  <c r="A58" i="38"/>
  <c r="B58" i="38"/>
  <c r="A31" i="38"/>
  <c r="B31" i="38"/>
  <c r="A66" i="38"/>
  <c r="B66" i="38"/>
  <c r="A33" i="38"/>
  <c r="B33" i="38"/>
  <c r="A55" i="38"/>
  <c r="B55" i="38"/>
  <c r="A42" i="38"/>
  <c r="B42" i="38"/>
  <c r="A30" i="38"/>
  <c r="B30" i="38"/>
  <c r="A69" i="38"/>
  <c r="B69" i="38"/>
  <c r="A81" i="38"/>
  <c r="B81" i="38"/>
  <c r="A67" i="38"/>
  <c r="B67" i="38"/>
  <c r="A28" i="38"/>
  <c r="B28" i="38"/>
  <c r="A21" i="38"/>
  <c r="B21" i="38"/>
  <c r="A53" i="38"/>
  <c r="B53" i="38"/>
  <c r="A22" i="38"/>
  <c r="B22" i="38"/>
  <c r="A80" i="38"/>
  <c r="B80" i="38"/>
  <c r="A79" i="38"/>
  <c r="B79" i="38"/>
  <c r="A65" i="38"/>
  <c r="B65" i="38"/>
  <c r="B5" i="38"/>
  <c r="A46" i="38"/>
  <c r="B46" i="38"/>
  <c r="A54" i="38"/>
  <c r="B54" i="38"/>
  <c r="A20" i="38"/>
  <c r="B20" i="38"/>
  <c r="A44" i="38"/>
  <c r="B44" i="38"/>
  <c r="A57" i="38"/>
  <c r="B57" i="38"/>
  <c r="A32" i="38"/>
  <c r="B32" i="38"/>
  <c r="A29" i="38"/>
  <c r="B29" i="38"/>
  <c r="A19" i="38"/>
  <c r="B19" i="38"/>
  <c r="A68" i="38"/>
  <c r="B68" i="38"/>
  <c r="A77" i="38"/>
  <c r="B77" i="38"/>
  <c r="A47" i="38"/>
  <c r="B47" i="38"/>
  <c r="A18" i="38"/>
  <c r="B18" i="38"/>
  <c r="A78" i="38"/>
  <c r="B78" i="38"/>
  <c r="A23" i="38"/>
  <c r="B23" i="38"/>
  <c r="A43" i="38"/>
  <c r="B43" i="38"/>
  <c r="A45" i="38"/>
  <c r="B45" i="38"/>
  <c r="A56" i="38"/>
  <c r="B56" i="38"/>
  <c r="X10" i="1"/>
  <c r="F4" i="43"/>
  <c r="F5" i="43"/>
  <c r="A35" i="43"/>
  <c r="B35" i="43"/>
  <c r="A46" i="43"/>
  <c r="B46" i="43"/>
  <c r="A78" i="43"/>
  <c r="B78" i="43"/>
  <c r="A61" i="43"/>
  <c r="B61" i="43"/>
  <c r="A22" i="43"/>
  <c r="B22" i="43"/>
  <c r="A90" i="43"/>
  <c r="B90" i="43"/>
  <c r="A59" i="43"/>
  <c r="B59" i="43"/>
  <c r="A62" i="43"/>
  <c r="B62" i="43"/>
  <c r="A23" i="43"/>
  <c r="B23" i="43"/>
  <c r="A25" i="43"/>
  <c r="B25" i="43"/>
  <c r="A74" i="43"/>
  <c r="B74" i="43"/>
  <c r="A92" i="43"/>
  <c r="B92" i="43"/>
  <c r="B5" i="43"/>
  <c r="A32" i="43"/>
  <c r="B32" i="43"/>
  <c r="A24" i="43"/>
  <c r="B24" i="43"/>
  <c r="A19" i="43"/>
  <c r="B19" i="43"/>
  <c r="A20" i="43"/>
  <c r="B20" i="43"/>
  <c r="A87" i="43"/>
  <c r="B87" i="43"/>
  <c r="A52" i="43"/>
  <c r="B52" i="43"/>
  <c r="A31" i="43"/>
  <c r="B31" i="43"/>
  <c r="A72" i="43"/>
  <c r="B72" i="43"/>
  <c r="A49" i="43"/>
  <c r="B49" i="43"/>
  <c r="A77" i="43"/>
  <c r="B77" i="43"/>
  <c r="A79" i="43"/>
  <c r="B79" i="43"/>
  <c r="A63" i="43"/>
  <c r="B63" i="43"/>
  <c r="A64" i="43"/>
  <c r="B64" i="43"/>
  <c r="A53" i="43"/>
  <c r="B53" i="43"/>
  <c r="A47" i="43"/>
  <c r="B47" i="43"/>
  <c r="A48" i="43"/>
  <c r="B48" i="43"/>
  <c r="A50" i="43"/>
  <c r="B50" i="43"/>
  <c r="A76" i="43"/>
  <c r="B76" i="43"/>
  <c r="A60" i="43"/>
  <c r="B60" i="43"/>
  <c r="A93" i="43"/>
  <c r="B93" i="43"/>
  <c r="A75" i="43"/>
  <c r="B75" i="43"/>
  <c r="A37" i="43"/>
  <c r="B37" i="43"/>
  <c r="A34" i="43"/>
  <c r="B34" i="43"/>
  <c r="A36" i="43"/>
  <c r="B36" i="43"/>
  <c r="A91" i="43"/>
  <c r="B91" i="43"/>
  <c r="A18" i="43"/>
  <c r="B18" i="43"/>
  <c r="A73" i="43"/>
  <c r="B73" i="43"/>
  <c r="A21" i="43"/>
  <c r="B21" i="43"/>
  <c r="A51" i="43"/>
  <c r="B51" i="43"/>
  <c r="A66" i="43"/>
  <c r="B66" i="43"/>
  <c r="A30" i="43"/>
  <c r="B30" i="43"/>
  <c r="A33" i="43"/>
  <c r="B33" i="43"/>
  <c r="A88" i="43"/>
  <c r="B88" i="43"/>
  <c r="A89" i="43"/>
  <c r="B89" i="43"/>
  <c r="A65" i="43"/>
  <c r="B65" i="43"/>
  <c r="A86" i="43"/>
  <c r="B86" i="43"/>
  <c r="N8" i="7"/>
  <c r="N7" i="7"/>
  <c r="K9" i="1"/>
  <c r="M71" i="7"/>
  <c r="N71" i="7"/>
  <c r="P11" i="7"/>
  <c r="M39" i="7"/>
  <c r="N39" i="7"/>
  <c r="O9" i="7"/>
  <c r="N11" i="7"/>
  <c r="M49" i="7"/>
  <c r="N49" i="7"/>
  <c r="M26" i="7"/>
  <c r="N26" i="7"/>
  <c r="O11" i="7"/>
  <c r="P6" i="7"/>
  <c r="P9" i="7"/>
  <c r="M17" i="7"/>
  <c r="N17" i="7"/>
  <c r="N9" i="7"/>
  <c r="O9" i="38"/>
  <c r="M41" i="38"/>
  <c r="N41" i="38"/>
  <c r="N7" i="38"/>
  <c r="O11" i="38"/>
  <c r="P6" i="38"/>
  <c r="M77" i="38"/>
  <c r="N77" i="38"/>
  <c r="P9" i="38"/>
  <c r="N9" i="38"/>
  <c r="M17" i="38"/>
  <c r="N17" i="38"/>
  <c r="N11" i="38"/>
  <c r="M52" i="38"/>
  <c r="N52" i="38"/>
  <c r="P11" i="38"/>
  <c r="M76" i="38"/>
  <c r="N76" i="38"/>
  <c r="M27" i="38"/>
  <c r="N27" i="38"/>
  <c r="N8" i="38"/>
  <c r="K10" i="1"/>
  <c r="Z10" i="1"/>
  <c r="M63" i="38"/>
  <c r="N63" i="38"/>
  <c r="A60" i="41"/>
  <c r="B60" i="41"/>
  <c r="A44" i="41"/>
  <c r="B44" i="41"/>
  <c r="A84" i="41"/>
  <c r="B84" i="41"/>
  <c r="A74" i="41"/>
  <c r="B74" i="41"/>
  <c r="A69" i="41"/>
  <c r="B69" i="41"/>
  <c r="A73" i="41"/>
  <c r="B73" i="41"/>
  <c r="A22" i="41"/>
  <c r="B22" i="41"/>
  <c r="A57" i="41"/>
  <c r="B57" i="41"/>
  <c r="A24" i="41"/>
  <c r="B24" i="41"/>
  <c r="A49" i="41"/>
  <c r="B49" i="41"/>
  <c r="A87" i="41"/>
  <c r="B87" i="41"/>
  <c r="A45" i="41"/>
  <c r="B45" i="41"/>
  <c r="A18" i="41"/>
  <c r="B18" i="41"/>
  <c r="A48" i="41"/>
  <c r="B48" i="41"/>
  <c r="A59" i="41"/>
  <c r="B59" i="41"/>
  <c r="A30" i="41"/>
  <c r="B30" i="41"/>
  <c r="A58" i="41"/>
  <c r="B58" i="41"/>
  <c r="A85" i="41"/>
  <c r="B85" i="41"/>
  <c r="A61" i="41"/>
  <c r="B61" i="41"/>
  <c r="A62" i="41"/>
  <c r="B62" i="41"/>
  <c r="A32" i="41"/>
  <c r="B32" i="41"/>
  <c r="B5" i="41"/>
  <c r="A47" i="41"/>
  <c r="B47" i="41"/>
  <c r="A56" i="41"/>
  <c r="B56" i="41"/>
  <c r="A21" i="41"/>
  <c r="B21" i="41"/>
  <c r="A31" i="41"/>
  <c r="B31" i="41"/>
  <c r="A34" i="41"/>
  <c r="B34" i="41"/>
  <c r="A72" i="41"/>
  <c r="B72" i="41"/>
  <c r="A81" i="41"/>
  <c r="B81" i="41"/>
  <c r="A23" i="41"/>
  <c r="B23" i="41"/>
  <c r="A29" i="41"/>
  <c r="B29" i="41"/>
  <c r="A33" i="41"/>
  <c r="B33" i="41"/>
  <c r="A70" i="41"/>
  <c r="B70" i="41"/>
  <c r="A86" i="41"/>
  <c r="B86" i="41"/>
  <c r="A46" i="41"/>
  <c r="B46" i="41"/>
  <c r="A68" i="41"/>
  <c r="B68" i="41"/>
  <c r="A35" i="41"/>
  <c r="B35" i="41"/>
  <c r="A19" i="41"/>
  <c r="B19" i="41"/>
  <c r="A71" i="41"/>
  <c r="B71" i="41"/>
  <c r="A83" i="41"/>
  <c r="B83" i="41"/>
  <c r="A50" i="41"/>
  <c r="B50" i="41"/>
  <c r="A82" i="41"/>
  <c r="B82" i="41"/>
  <c r="A20" i="41"/>
  <c r="B20" i="41"/>
  <c r="N6" i="41"/>
  <c r="O6" i="41"/>
  <c r="J11" i="1"/>
  <c r="G9" i="41"/>
  <c r="E43" i="41"/>
  <c r="F43" i="41"/>
  <c r="E28" i="41"/>
  <c r="F28" i="41"/>
  <c r="E17" i="41"/>
  <c r="F17" i="41"/>
  <c r="F9" i="41"/>
  <c r="G11" i="41"/>
  <c r="E55" i="41"/>
  <c r="F55" i="41"/>
  <c r="E67" i="41"/>
  <c r="F67" i="41"/>
  <c r="H11" i="41"/>
  <c r="H9" i="41"/>
  <c r="F11" i="41"/>
  <c r="F7" i="41"/>
  <c r="E80" i="41"/>
  <c r="F80" i="41"/>
  <c r="H6" i="41"/>
  <c r="E19" i="41"/>
  <c r="F19" i="41"/>
  <c r="E84" i="41"/>
  <c r="F84" i="41"/>
  <c r="E45" i="41"/>
  <c r="F45" i="41"/>
  <c r="E62" i="41"/>
  <c r="F62" i="41"/>
  <c r="E72" i="41"/>
  <c r="F72" i="41"/>
  <c r="E35" i="41"/>
  <c r="F35" i="41"/>
  <c r="E60" i="41"/>
  <c r="F60" i="41"/>
  <c r="E70" i="41"/>
  <c r="F70" i="41"/>
  <c r="E85" i="41"/>
  <c r="F85" i="41"/>
  <c r="E81" i="41"/>
  <c r="F81" i="41"/>
  <c r="E32" i="41"/>
  <c r="F32" i="41"/>
  <c r="E87" i="41"/>
  <c r="F87" i="41"/>
  <c r="E69" i="41"/>
  <c r="F69" i="41"/>
  <c r="E46" i="41"/>
  <c r="F46" i="41"/>
  <c r="E22" i="41"/>
  <c r="F22" i="41"/>
  <c r="E47" i="41"/>
  <c r="F47" i="41"/>
  <c r="E20" i="41"/>
  <c r="F20" i="41"/>
  <c r="E59" i="41"/>
  <c r="F59" i="41"/>
  <c r="E86" i="41"/>
  <c r="F86" i="41"/>
  <c r="G11" i="1"/>
  <c r="X11" i="1"/>
  <c r="E31" i="41"/>
  <c r="F31" i="41"/>
  <c r="E71" i="41"/>
  <c r="F71" i="41"/>
  <c r="E68" i="41"/>
  <c r="F68" i="41"/>
  <c r="E83" i="41"/>
  <c r="F83" i="41"/>
  <c r="E29" i="41"/>
  <c r="F29" i="41"/>
  <c r="E44" i="41"/>
  <c r="F44" i="41"/>
  <c r="J72" i="21"/>
  <c r="J12" i="1"/>
  <c r="N6" i="43"/>
  <c r="O6" i="43"/>
  <c r="O8" i="1"/>
  <c r="G11" i="43"/>
  <c r="E58" i="43"/>
  <c r="F58" i="43"/>
  <c r="F7" i="43"/>
  <c r="E29" i="43"/>
  <c r="F29" i="43"/>
  <c r="H11" i="43"/>
  <c r="F9" i="43"/>
  <c r="H9" i="43"/>
  <c r="G12" i="1"/>
  <c r="X12" i="1"/>
  <c r="G9" i="43"/>
  <c r="E85" i="43"/>
  <c r="F85" i="43"/>
  <c r="E17" i="43"/>
  <c r="F17" i="43"/>
  <c r="E71" i="43"/>
  <c r="F71" i="43"/>
  <c r="E45" i="43"/>
  <c r="F45" i="43"/>
  <c r="F11" i="43"/>
  <c r="H6" i="43"/>
  <c r="F61" i="21"/>
  <c r="F8" i="21"/>
  <c r="E86" i="43"/>
  <c r="F86" i="43"/>
  <c r="E51" i="43"/>
  <c r="F51" i="43"/>
  <c r="E18" i="41"/>
  <c r="F18" i="41"/>
  <c r="E50" i="41"/>
  <c r="F50" i="41"/>
  <c r="E74" i="41"/>
  <c r="F74" i="41"/>
  <c r="E23" i="41"/>
  <c r="F23" i="41"/>
  <c r="E34" i="41"/>
  <c r="F34" i="41"/>
  <c r="E49" i="41"/>
  <c r="F49" i="41"/>
  <c r="F4" i="38"/>
  <c r="E23" i="38"/>
  <c r="F23" i="38"/>
  <c r="E21" i="43"/>
  <c r="F21" i="43"/>
  <c r="E47" i="43"/>
  <c r="F47" i="43"/>
  <c r="E64" i="43"/>
  <c r="F64" i="43"/>
  <c r="E53" i="43"/>
  <c r="F53" i="43"/>
  <c r="E56" i="41"/>
  <c r="F56" i="41"/>
  <c r="E57" i="41"/>
  <c r="F57" i="41"/>
  <c r="E61" i="41"/>
  <c r="F61" i="41"/>
  <c r="E58" i="41"/>
  <c r="F58" i="41"/>
  <c r="E73" i="41"/>
  <c r="F73" i="41"/>
  <c r="E82" i="41"/>
  <c r="F82" i="41"/>
  <c r="E75" i="43"/>
  <c r="F75" i="43"/>
  <c r="E65" i="43"/>
  <c r="F65" i="43"/>
  <c r="E48" i="43"/>
  <c r="F48" i="43"/>
  <c r="E74" i="43"/>
  <c r="F74" i="43"/>
  <c r="F71" i="21"/>
  <c r="F10" i="21"/>
  <c r="E93" i="43"/>
  <c r="F93" i="43"/>
  <c r="E66" i="43"/>
  <c r="F66" i="43"/>
  <c r="E73" i="43"/>
  <c r="F73" i="43"/>
  <c r="E32" i="43"/>
  <c r="F32" i="43"/>
  <c r="E21" i="41"/>
  <c r="F21" i="41"/>
  <c r="E30" i="41"/>
  <c r="F30" i="41"/>
  <c r="E33" i="41"/>
  <c r="F33" i="41"/>
  <c r="E24" i="41"/>
  <c r="F24" i="41"/>
  <c r="E48" i="41"/>
  <c r="F48" i="41"/>
  <c r="X8" i="1"/>
  <c r="E31" i="43"/>
  <c r="F31" i="43"/>
  <c r="E72" i="43"/>
  <c r="F72" i="43"/>
  <c r="E19" i="43"/>
  <c r="F19" i="43"/>
  <c r="N61" i="21"/>
  <c r="F5" i="7"/>
  <c r="E29" i="7"/>
  <c r="F29" i="7"/>
  <c r="E44" i="7"/>
  <c r="F44" i="7"/>
  <c r="E72" i="7"/>
  <c r="F72" i="7"/>
  <c r="E40" i="7"/>
  <c r="F40" i="7"/>
  <c r="E28" i="7"/>
  <c r="F28" i="7"/>
  <c r="E30" i="7"/>
  <c r="F30" i="7"/>
  <c r="E41" i="7"/>
  <c r="F41" i="7"/>
  <c r="E53" i="7"/>
  <c r="F53" i="7"/>
  <c r="E51" i="7"/>
  <c r="F51" i="7"/>
  <c r="E18" i="7"/>
  <c r="F18" i="7"/>
  <c r="E71" i="7"/>
  <c r="F71" i="7"/>
  <c r="E74" i="7"/>
  <c r="F74" i="7"/>
  <c r="E62" i="7"/>
  <c r="F62" i="7"/>
  <c r="E20" i="7"/>
  <c r="F20" i="7"/>
  <c r="E43" i="7"/>
  <c r="F43" i="7"/>
  <c r="E64" i="7"/>
  <c r="F64" i="7"/>
  <c r="E60" i="7"/>
  <c r="F60" i="7"/>
  <c r="E63" i="7"/>
  <c r="F63" i="7"/>
  <c r="E73" i="7"/>
  <c r="F73" i="7"/>
  <c r="E61" i="7"/>
  <c r="F61" i="7"/>
  <c r="E52" i="7"/>
  <c r="F52" i="7"/>
  <c r="E50" i="7"/>
  <c r="F50" i="7"/>
  <c r="E21" i="7"/>
  <c r="F21" i="7"/>
  <c r="E42" i="7"/>
  <c r="F42" i="7"/>
  <c r="E19" i="7"/>
  <c r="F19" i="7"/>
  <c r="E54" i="7"/>
  <c r="F54" i="7"/>
  <c r="E22" i="7"/>
  <c r="F22" i="7"/>
  <c r="E27" i="7"/>
  <c r="F27" i="7"/>
  <c r="E75" i="7"/>
  <c r="F75" i="7"/>
  <c r="E31" i="7"/>
  <c r="F31" i="7"/>
  <c r="N72" i="21"/>
  <c r="N4" i="7"/>
  <c r="Z8" i="1"/>
  <c r="B76" i="41"/>
  <c r="B8" i="41"/>
  <c r="F5" i="38"/>
  <c r="E67" i="38"/>
  <c r="F67" i="38"/>
  <c r="E31" i="38"/>
  <c r="F31" i="38"/>
  <c r="E33" i="38"/>
  <c r="F33" i="38"/>
  <c r="E43" i="38"/>
  <c r="F43" i="38"/>
  <c r="E22" i="38"/>
  <c r="F22" i="38"/>
  <c r="E78" i="38"/>
  <c r="F78" i="38"/>
  <c r="E44" i="38"/>
  <c r="F44" i="38"/>
  <c r="E19" i="38"/>
  <c r="F19" i="38"/>
  <c r="E32" i="38"/>
  <c r="F32" i="38"/>
  <c r="E55" i="38"/>
  <c r="F55" i="38"/>
  <c r="E53" i="38"/>
  <c r="F53" i="38"/>
  <c r="E29" i="38"/>
  <c r="F29" i="38"/>
  <c r="E64" i="38"/>
  <c r="F64" i="38"/>
  <c r="E81" i="38"/>
  <c r="F81" i="38"/>
  <c r="E66" i="38"/>
  <c r="F66" i="38"/>
  <c r="E69" i="38"/>
  <c r="F69" i="38"/>
  <c r="E68" i="38"/>
  <c r="F68" i="38"/>
  <c r="E42" i="38"/>
  <c r="F42" i="38"/>
  <c r="E65" i="38"/>
  <c r="F65" i="38"/>
  <c r="E54" i="38"/>
  <c r="F54" i="38"/>
  <c r="E28" i="38"/>
  <c r="F28" i="38"/>
  <c r="E30" i="38"/>
  <c r="F30" i="38"/>
  <c r="E20" i="38"/>
  <c r="F20" i="38"/>
  <c r="E77" i="38"/>
  <c r="F77" i="38"/>
  <c r="E56" i="38"/>
  <c r="F56" i="38"/>
  <c r="E21" i="38"/>
  <c r="F21" i="38"/>
  <c r="E79" i="38"/>
  <c r="F79" i="38"/>
  <c r="E45" i="38"/>
  <c r="F45" i="38"/>
  <c r="E57" i="38"/>
  <c r="F57" i="38"/>
  <c r="E80" i="38"/>
  <c r="F80" i="38"/>
  <c r="E18" i="38"/>
  <c r="F18" i="38"/>
  <c r="E46" i="38"/>
  <c r="F46" i="38"/>
  <c r="E47" i="38"/>
  <c r="F47" i="38"/>
  <c r="B95" i="43"/>
  <c r="B10" i="43"/>
  <c r="E92" i="43"/>
  <c r="F92" i="43"/>
  <c r="E78" i="43"/>
  <c r="F78" i="43"/>
  <c r="E36" i="43"/>
  <c r="F36" i="43"/>
  <c r="E37" i="43"/>
  <c r="F37" i="43"/>
  <c r="E25" i="43"/>
  <c r="F25" i="43"/>
  <c r="E61" i="43"/>
  <c r="F61" i="43"/>
  <c r="B81" i="43"/>
  <c r="B8" i="43"/>
  <c r="B71" i="38"/>
  <c r="B8" i="38"/>
  <c r="J99" i="43"/>
  <c r="I60" i="43"/>
  <c r="J60" i="43"/>
  <c r="I35" i="43"/>
  <c r="J35" i="43"/>
  <c r="I22" i="43"/>
  <c r="J22" i="43"/>
  <c r="I37" i="43"/>
  <c r="J37" i="43"/>
  <c r="I25" i="43"/>
  <c r="J25" i="43"/>
  <c r="I34" i="43"/>
  <c r="J34" i="43"/>
  <c r="I93" i="43"/>
  <c r="J93" i="43"/>
  <c r="I79" i="43"/>
  <c r="J79" i="43"/>
  <c r="I33" i="43"/>
  <c r="J33" i="43"/>
  <c r="I32" i="43"/>
  <c r="J32" i="43"/>
  <c r="I59" i="43"/>
  <c r="J59" i="43"/>
  <c r="I23" i="43"/>
  <c r="J23" i="43"/>
  <c r="I77" i="43"/>
  <c r="J77" i="43"/>
  <c r="I65" i="43"/>
  <c r="J65" i="43"/>
  <c r="I88" i="43"/>
  <c r="J88" i="43"/>
  <c r="I76" i="43"/>
  <c r="J76" i="43"/>
  <c r="I21" i="43"/>
  <c r="J21" i="43"/>
  <c r="I48" i="43"/>
  <c r="J48" i="43"/>
  <c r="I36" i="43"/>
  <c r="J36" i="43"/>
  <c r="I31" i="43"/>
  <c r="J31" i="43"/>
  <c r="I47" i="43"/>
  <c r="J47" i="43"/>
  <c r="I46" i="43"/>
  <c r="J46" i="43"/>
  <c r="I20" i="43"/>
  <c r="J20" i="43"/>
  <c r="I92" i="43"/>
  <c r="J92" i="43"/>
  <c r="J5" i="43"/>
  <c r="I66" i="43"/>
  <c r="J66" i="43"/>
  <c r="I90" i="43"/>
  <c r="J90" i="43"/>
  <c r="I61" i="43"/>
  <c r="J61" i="43"/>
  <c r="I50" i="43"/>
  <c r="J50" i="43"/>
  <c r="I51" i="43"/>
  <c r="J51" i="43"/>
  <c r="I87" i="43"/>
  <c r="J87" i="43"/>
  <c r="I62" i="43"/>
  <c r="J62" i="43"/>
  <c r="I74" i="43"/>
  <c r="J74" i="43"/>
  <c r="I64" i="43"/>
  <c r="J64" i="43"/>
  <c r="I53" i="43"/>
  <c r="J53" i="43"/>
  <c r="I72" i="43"/>
  <c r="J72" i="43"/>
  <c r="I30" i="43"/>
  <c r="J30" i="43"/>
  <c r="I91" i="43"/>
  <c r="J91" i="43"/>
  <c r="I63" i="43"/>
  <c r="J63" i="43"/>
  <c r="I18" i="43"/>
  <c r="J18" i="43"/>
  <c r="I73" i="43"/>
  <c r="J73" i="43"/>
  <c r="I49" i="43"/>
  <c r="J49" i="43"/>
  <c r="I24" i="43"/>
  <c r="J24" i="43"/>
  <c r="I75" i="43"/>
  <c r="J75" i="43"/>
  <c r="I89" i="43"/>
  <c r="J89" i="43"/>
  <c r="I19" i="43"/>
  <c r="J19" i="43"/>
  <c r="I52" i="43"/>
  <c r="J52" i="43"/>
  <c r="I78" i="43"/>
  <c r="J78" i="43"/>
  <c r="I94" i="43"/>
  <c r="J94" i="43"/>
  <c r="E18" i="43"/>
  <c r="F18" i="43"/>
  <c r="E22" i="43"/>
  <c r="F22" i="43"/>
  <c r="E79" i="43"/>
  <c r="F79" i="43"/>
  <c r="O10" i="1"/>
  <c r="J93" i="41"/>
  <c r="I30" i="41"/>
  <c r="J30" i="41"/>
  <c r="I84" i="41"/>
  <c r="J84" i="41"/>
  <c r="I24" i="41"/>
  <c r="J24" i="41"/>
  <c r="I62" i="41"/>
  <c r="J62" i="41"/>
  <c r="I69" i="41"/>
  <c r="J69" i="41"/>
  <c r="I33" i="41"/>
  <c r="J33" i="41"/>
  <c r="I48" i="41"/>
  <c r="J48" i="41"/>
  <c r="I45" i="41"/>
  <c r="J45" i="41"/>
  <c r="I18" i="41"/>
  <c r="J18" i="41"/>
  <c r="I47" i="41"/>
  <c r="J47" i="41"/>
  <c r="I31" i="41"/>
  <c r="J31" i="41"/>
  <c r="I22" i="41"/>
  <c r="J22" i="41"/>
  <c r="I60" i="41"/>
  <c r="J60" i="41"/>
  <c r="I44" i="41"/>
  <c r="J44" i="41"/>
  <c r="I46" i="41"/>
  <c r="J46" i="41"/>
  <c r="I70" i="41"/>
  <c r="J70" i="41"/>
  <c r="I50" i="41"/>
  <c r="J50" i="41"/>
  <c r="I34" i="41"/>
  <c r="J34" i="41"/>
  <c r="I68" i="41"/>
  <c r="J68" i="41"/>
  <c r="I59" i="41"/>
  <c r="J59" i="41"/>
  <c r="I57" i="41"/>
  <c r="J57" i="41"/>
  <c r="I32" i="41"/>
  <c r="J32" i="41"/>
  <c r="I56" i="41"/>
  <c r="J56" i="41"/>
  <c r="I71" i="41"/>
  <c r="J71" i="41"/>
  <c r="I21" i="41"/>
  <c r="J21" i="41"/>
  <c r="I82" i="41"/>
  <c r="J82" i="41"/>
  <c r="I20" i="41"/>
  <c r="J20" i="41"/>
  <c r="I61" i="41"/>
  <c r="J61" i="41"/>
  <c r="I88" i="41"/>
  <c r="J88" i="41"/>
  <c r="I87" i="41"/>
  <c r="J87" i="41"/>
  <c r="I86" i="41"/>
  <c r="J86" i="41"/>
  <c r="I23" i="41"/>
  <c r="J23" i="41"/>
  <c r="I49" i="41"/>
  <c r="J49" i="41"/>
  <c r="I29" i="41"/>
  <c r="J29" i="41"/>
  <c r="I58" i="41"/>
  <c r="J58" i="41"/>
  <c r="I35" i="41"/>
  <c r="J35" i="41"/>
  <c r="I85" i="41"/>
  <c r="J85" i="41"/>
  <c r="I83" i="41"/>
  <c r="J83" i="41"/>
  <c r="I74" i="41"/>
  <c r="J74" i="41"/>
  <c r="I72" i="41"/>
  <c r="J72" i="41"/>
  <c r="I19" i="41"/>
  <c r="J19" i="41"/>
  <c r="I73" i="41"/>
  <c r="J73" i="41"/>
  <c r="J5" i="41"/>
  <c r="F89" i="41"/>
  <c r="F10" i="41"/>
  <c r="E34" i="43"/>
  <c r="F34" i="43"/>
  <c r="E89" i="43"/>
  <c r="F89" i="43"/>
  <c r="E87" i="43"/>
  <c r="F87" i="43"/>
  <c r="E59" i="43"/>
  <c r="F59" i="43"/>
  <c r="E63" i="43"/>
  <c r="F63" i="43"/>
  <c r="E52" i="43"/>
  <c r="F52" i="43"/>
  <c r="E60" i="43"/>
  <c r="F60" i="43"/>
  <c r="E20" i="43"/>
  <c r="F20" i="43"/>
  <c r="E23" i="43"/>
  <c r="F23" i="43"/>
  <c r="E76" i="43"/>
  <c r="F76" i="43"/>
  <c r="B83" i="38"/>
  <c r="B10" i="38"/>
  <c r="J87" i="38"/>
  <c r="J5" i="38"/>
  <c r="I33" i="38"/>
  <c r="J33" i="38"/>
  <c r="I32" i="38"/>
  <c r="J32" i="38"/>
  <c r="I69" i="38"/>
  <c r="J69" i="38"/>
  <c r="I80" i="38"/>
  <c r="J80" i="38"/>
  <c r="I30" i="38"/>
  <c r="J30" i="38"/>
  <c r="I20" i="38"/>
  <c r="J20" i="38"/>
  <c r="I18" i="38"/>
  <c r="J18" i="38"/>
  <c r="I31" i="38"/>
  <c r="J31" i="38"/>
  <c r="I45" i="38"/>
  <c r="J45" i="38"/>
  <c r="I44" i="38"/>
  <c r="J44" i="38"/>
  <c r="I46" i="38"/>
  <c r="J46" i="38"/>
  <c r="I66" i="38"/>
  <c r="J66" i="38"/>
  <c r="I56" i="38"/>
  <c r="J56" i="38"/>
  <c r="I42" i="38"/>
  <c r="J42" i="38"/>
  <c r="I68" i="38"/>
  <c r="J68" i="38"/>
  <c r="I67" i="38"/>
  <c r="J67" i="38"/>
  <c r="I82" i="38"/>
  <c r="J82" i="38"/>
  <c r="I55" i="38"/>
  <c r="J55" i="38"/>
  <c r="I43" i="38"/>
  <c r="J43" i="38"/>
  <c r="I29" i="38"/>
  <c r="J29" i="38"/>
  <c r="I19" i="38"/>
  <c r="J19" i="38"/>
  <c r="I78" i="38"/>
  <c r="J78" i="38"/>
  <c r="I53" i="38"/>
  <c r="J53" i="38"/>
  <c r="I23" i="38"/>
  <c r="J23" i="38"/>
  <c r="I58" i="38"/>
  <c r="J58" i="38"/>
  <c r="I64" i="38"/>
  <c r="J64" i="38"/>
  <c r="I81" i="38"/>
  <c r="J81" i="38"/>
  <c r="I54" i="38"/>
  <c r="J54" i="38"/>
  <c r="I47" i="38"/>
  <c r="J47" i="38"/>
  <c r="I21" i="38"/>
  <c r="J21" i="38"/>
  <c r="I28" i="38"/>
  <c r="J28" i="38"/>
  <c r="I57" i="38"/>
  <c r="J57" i="38"/>
  <c r="I65" i="38"/>
  <c r="J65" i="38"/>
  <c r="I22" i="38"/>
  <c r="J22" i="38"/>
  <c r="I79" i="38"/>
  <c r="J79" i="38"/>
  <c r="J5" i="7"/>
  <c r="J81" i="7"/>
  <c r="I52" i="7"/>
  <c r="J52" i="7"/>
  <c r="I75" i="7"/>
  <c r="J75" i="7"/>
  <c r="I41" i="7"/>
  <c r="J41" i="7"/>
  <c r="I29" i="7"/>
  <c r="J29" i="7"/>
  <c r="I19" i="7"/>
  <c r="J19" i="7"/>
  <c r="I20" i="7"/>
  <c r="J20" i="7"/>
  <c r="I43" i="7"/>
  <c r="J43" i="7"/>
  <c r="I53" i="7"/>
  <c r="J53" i="7"/>
  <c r="I54" i="7"/>
  <c r="J54" i="7"/>
  <c r="I73" i="7"/>
  <c r="J73" i="7"/>
  <c r="I31" i="7"/>
  <c r="J31" i="7"/>
  <c r="I72" i="7"/>
  <c r="J72" i="7"/>
  <c r="I18" i="7"/>
  <c r="J18" i="7"/>
  <c r="I42" i="7"/>
  <c r="J42" i="7"/>
  <c r="I30" i="7"/>
  <c r="J30" i="7"/>
  <c r="I60" i="7"/>
  <c r="J60" i="7"/>
  <c r="I27" i="7"/>
  <c r="J27" i="7"/>
  <c r="I50" i="7"/>
  <c r="J50" i="7"/>
  <c r="I28" i="7"/>
  <c r="J28" i="7"/>
  <c r="I64" i="7"/>
  <c r="J64" i="7"/>
  <c r="I40" i="7"/>
  <c r="J40" i="7"/>
  <c r="I61" i="7"/>
  <c r="J61" i="7"/>
  <c r="I74" i="7"/>
  <c r="J74" i="7"/>
  <c r="I63" i="7"/>
  <c r="J63" i="7"/>
  <c r="I44" i="7"/>
  <c r="J44" i="7"/>
  <c r="I62" i="7"/>
  <c r="J62" i="7"/>
  <c r="I51" i="7"/>
  <c r="J51" i="7"/>
  <c r="I76" i="7"/>
  <c r="J76" i="7"/>
  <c r="I22" i="7"/>
  <c r="J22" i="7"/>
  <c r="I21" i="7"/>
  <c r="J21" i="7"/>
  <c r="E62" i="43"/>
  <c r="F62" i="43"/>
  <c r="E77" i="43"/>
  <c r="F77" i="43"/>
  <c r="E35" i="43"/>
  <c r="F35" i="43"/>
  <c r="E91" i="43"/>
  <c r="F91" i="43"/>
  <c r="E88" i="43"/>
  <c r="F88" i="43"/>
  <c r="E50" i="43"/>
  <c r="F50" i="43"/>
  <c r="Z9" i="1"/>
  <c r="N4" i="38"/>
  <c r="N4" i="43"/>
  <c r="M87" i="43"/>
  <c r="N87" i="43"/>
  <c r="N4" i="41"/>
  <c r="M82" i="41"/>
  <c r="N82" i="41"/>
  <c r="O9" i="1"/>
  <c r="B77" i="7"/>
  <c r="B10" i="7"/>
  <c r="M58" i="43"/>
  <c r="N58" i="43"/>
  <c r="M29" i="43"/>
  <c r="N29" i="43"/>
  <c r="N9" i="43"/>
  <c r="P6" i="43"/>
  <c r="M86" i="43"/>
  <c r="N86" i="43"/>
  <c r="M45" i="43"/>
  <c r="N45" i="43"/>
  <c r="N11" i="43"/>
  <c r="K12" i="1"/>
  <c r="Z12" i="1"/>
  <c r="O11" i="43"/>
  <c r="O9" i="43"/>
  <c r="M71" i="43"/>
  <c r="N71" i="43"/>
  <c r="P11" i="43"/>
  <c r="M17" i="43"/>
  <c r="N17" i="43"/>
  <c r="P9" i="43"/>
  <c r="N8" i="43"/>
  <c r="N7" i="43"/>
  <c r="B89" i="41"/>
  <c r="B10" i="41"/>
  <c r="E90" i="43"/>
  <c r="F90" i="43"/>
  <c r="E24" i="43"/>
  <c r="F24" i="43"/>
  <c r="E46" i="43"/>
  <c r="F46" i="43"/>
  <c r="E30" i="43"/>
  <c r="F30" i="43"/>
  <c r="E33" i="43"/>
  <c r="F33" i="43"/>
  <c r="E49" i="43"/>
  <c r="F49" i="43"/>
  <c r="N8" i="41"/>
  <c r="M81" i="41"/>
  <c r="N81" i="41"/>
  <c r="N7" i="41"/>
  <c r="P9" i="41"/>
  <c r="M55" i="41"/>
  <c r="N55" i="41"/>
  <c r="P6" i="41"/>
  <c r="P11" i="41"/>
  <c r="K11" i="1"/>
  <c r="Z11" i="1"/>
  <c r="M17" i="41"/>
  <c r="N17" i="41"/>
  <c r="M67" i="41"/>
  <c r="N67" i="41"/>
  <c r="N11" i="41"/>
  <c r="O11" i="41"/>
  <c r="M43" i="41"/>
  <c r="N43" i="41"/>
  <c r="O9" i="41"/>
  <c r="N9" i="41"/>
  <c r="M28" i="41"/>
  <c r="N28" i="41"/>
  <c r="B66" i="7"/>
  <c r="B8" i="7"/>
  <c r="F76" i="41"/>
  <c r="F8" i="41"/>
  <c r="F66" i="7"/>
  <c r="F8" i="7"/>
  <c r="E58" i="38"/>
  <c r="F58" i="38"/>
  <c r="M62" i="43"/>
  <c r="N62" i="43"/>
  <c r="M63" i="43"/>
  <c r="N63" i="43"/>
  <c r="M90" i="43"/>
  <c r="N90" i="43"/>
  <c r="M49" i="43"/>
  <c r="N49" i="43"/>
  <c r="M32" i="43"/>
  <c r="N32" i="43"/>
  <c r="M46" i="43"/>
  <c r="N46" i="43"/>
  <c r="N5" i="7"/>
  <c r="M28" i="7"/>
  <c r="N28" i="7"/>
  <c r="M76" i="7"/>
  <c r="N76" i="7"/>
  <c r="M20" i="7"/>
  <c r="N20" i="7"/>
  <c r="M21" i="7"/>
  <c r="N21" i="7"/>
  <c r="M18" i="7"/>
  <c r="N18" i="7"/>
  <c r="M42" i="7"/>
  <c r="N42" i="7"/>
  <c r="M53" i="7"/>
  <c r="N53" i="7"/>
  <c r="M29" i="7"/>
  <c r="N29" i="7"/>
  <c r="M62" i="7"/>
  <c r="N62" i="7"/>
  <c r="M73" i="7"/>
  <c r="N73" i="7"/>
  <c r="M74" i="7"/>
  <c r="N74" i="7"/>
  <c r="N81" i="7"/>
  <c r="M27" i="7"/>
  <c r="N27" i="7"/>
  <c r="M41" i="7"/>
  <c r="N41" i="7"/>
  <c r="M51" i="7"/>
  <c r="N51" i="7"/>
  <c r="M64" i="7"/>
  <c r="N64" i="7"/>
  <c r="M50" i="7"/>
  <c r="N50" i="7"/>
  <c r="M61" i="7"/>
  <c r="N61" i="7"/>
  <c r="M75" i="7"/>
  <c r="N75" i="7"/>
  <c r="M30" i="7"/>
  <c r="N30" i="7"/>
  <c r="M43" i="7"/>
  <c r="N43" i="7"/>
  <c r="M22" i="7"/>
  <c r="N22" i="7"/>
  <c r="M44" i="7"/>
  <c r="N44" i="7"/>
  <c r="M60" i="7"/>
  <c r="N60" i="7"/>
  <c r="M63" i="7"/>
  <c r="N63" i="7"/>
  <c r="M31" i="7"/>
  <c r="N31" i="7"/>
  <c r="M54" i="7"/>
  <c r="N54" i="7"/>
  <c r="M19" i="7"/>
  <c r="N19" i="7"/>
  <c r="M52" i="7"/>
  <c r="N52" i="7"/>
  <c r="M72" i="7"/>
  <c r="N72" i="7"/>
  <c r="M40" i="7"/>
  <c r="N40" i="7"/>
  <c r="F77" i="7"/>
  <c r="F10" i="7"/>
  <c r="M68" i="41"/>
  <c r="N68" i="41"/>
  <c r="M57" i="41"/>
  <c r="N57" i="41"/>
  <c r="M83" i="41"/>
  <c r="N83" i="41"/>
  <c r="M22" i="41"/>
  <c r="N22" i="41"/>
  <c r="M47" i="43"/>
  <c r="N47" i="43"/>
  <c r="M87" i="41"/>
  <c r="N87" i="41"/>
  <c r="M71" i="41"/>
  <c r="N71" i="41"/>
  <c r="M35" i="43"/>
  <c r="N35" i="43"/>
  <c r="M29" i="41"/>
  <c r="N29" i="41"/>
  <c r="M34" i="43"/>
  <c r="N34" i="43"/>
  <c r="M20" i="43"/>
  <c r="N20" i="43"/>
  <c r="M86" i="41"/>
  <c r="N86" i="41"/>
  <c r="M24" i="43"/>
  <c r="N24" i="43"/>
  <c r="M72" i="43"/>
  <c r="N72" i="43"/>
  <c r="M21" i="43"/>
  <c r="N21" i="43"/>
  <c r="M48" i="43"/>
  <c r="N48" i="43"/>
  <c r="M88" i="43"/>
  <c r="N88" i="43"/>
  <c r="M60" i="41"/>
  <c r="N60" i="41"/>
  <c r="M21" i="41"/>
  <c r="N21" i="41"/>
  <c r="M45" i="41"/>
  <c r="N45" i="41"/>
  <c r="M48" i="41"/>
  <c r="N48" i="41"/>
  <c r="M20" i="41"/>
  <c r="N20" i="41"/>
  <c r="M19" i="43"/>
  <c r="N19" i="43"/>
  <c r="M65" i="43"/>
  <c r="N65" i="43"/>
  <c r="M25" i="43"/>
  <c r="N25" i="43"/>
  <c r="M23" i="43"/>
  <c r="N23" i="43"/>
  <c r="M75" i="43"/>
  <c r="N75" i="43"/>
  <c r="M37" i="43"/>
  <c r="N37" i="43"/>
  <c r="M30" i="43"/>
  <c r="N30" i="43"/>
  <c r="M91" i="43"/>
  <c r="N91" i="43"/>
  <c r="M85" i="41"/>
  <c r="N85" i="41"/>
  <c r="M30" i="41"/>
  <c r="N30" i="41"/>
  <c r="M89" i="43"/>
  <c r="N89" i="43"/>
  <c r="M36" i="43"/>
  <c r="N36" i="43"/>
  <c r="M60" i="43"/>
  <c r="N60" i="43"/>
  <c r="M51" i="43"/>
  <c r="N51" i="43"/>
  <c r="M59" i="43"/>
  <c r="N59" i="43"/>
  <c r="M33" i="43"/>
  <c r="N33" i="43"/>
  <c r="F83" i="38"/>
  <c r="F10" i="38"/>
  <c r="M88" i="41"/>
  <c r="N88" i="41"/>
  <c r="M34" i="41"/>
  <c r="N34" i="41"/>
  <c r="M62" i="41"/>
  <c r="N62" i="41"/>
  <c r="M46" i="41"/>
  <c r="N46" i="41"/>
  <c r="M69" i="41"/>
  <c r="N69" i="41"/>
  <c r="M31" i="41"/>
  <c r="N31" i="41"/>
  <c r="M19" i="41"/>
  <c r="N19" i="41"/>
  <c r="M44" i="41"/>
  <c r="N44" i="41"/>
  <c r="M18" i="41"/>
  <c r="N18" i="41"/>
  <c r="M50" i="41"/>
  <c r="N50" i="41"/>
  <c r="M61" i="41"/>
  <c r="N61" i="41"/>
  <c r="M73" i="43"/>
  <c r="N73" i="43"/>
  <c r="M18" i="43"/>
  <c r="N18" i="43"/>
  <c r="M53" i="43"/>
  <c r="N53" i="43"/>
  <c r="M77" i="43"/>
  <c r="N77" i="43"/>
  <c r="M52" i="43"/>
  <c r="N52" i="43"/>
  <c r="M64" i="43"/>
  <c r="N64" i="43"/>
  <c r="F71" i="38"/>
  <c r="F8" i="38"/>
  <c r="M23" i="41"/>
  <c r="N23" i="41"/>
  <c r="M33" i="41"/>
  <c r="N33" i="41"/>
  <c r="M32" i="41"/>
  <c r="N32" i="41"/>
  <c r="M74" i="41"/>
  <c r="N74" i="41"/>
  <c r="M49" i="41"/>
  <c r="N49" i="41"/>
  <c r="F95" i="43"/>
  <c r="F10" i="43"/>
  <c r="M74" i="43"/>
  <c r="N74" i="43"/>
  <c r="M22" i="43"/>
  <c r="N22" i="43"/>
  <c r="M50" i="43"/>
  <c r="N50" i="43"/>
  <c r="M76" i="43"/>
  <c r="N76" i="43"/>
  <c r="M94" i="43"/>
  <c r="N94" i="43"/>
  <c r="M35" i="41"/>
  <c r="N35" i="41"/>
  <c r="M70" i="41"/>
  <c r="N70" i="41"/>
  <c r="M72" i="41"/>
  <c r="N72" i="41"/>
  <c r="M58" i="41"/>
  <c r="N58" i="41"/>
  <c r="M59" i="41"/>
  <c r="N59" i="41"/>
  <c r="M31" i="43"/>
  <c r="N31" i="43"/>
  <c r="M47" i="41"/>
  <c r="N47" i="41"/>
  <c r="M84" i="41"/>
  <c r="N84" i="41"/>
  <c r="M56" i="41"/>
  <c r="N56" i="41"/>
  <c r="M73" i="41"/>
  <c r="N73" i="41"/>
  <c r="M24" i="41"/>
  <c r="N24" i="41"/>
  <c r="M92" i="43"/>
  <c r="N92" i="43"/>
  <c r="M93" i="43"/>
  <c r="N93" i="43"/>
  <c r="M79" i="43"/>
  <c r="N79" i="43"/>
  <c r="M66" i="43"/>
  <c r="N66" i="43"/>
  <c r="M61" i="43"/>
  <c r="N61" i="43"/>
  <c r="J78" i="7"/>
  <c r="M78" i="43"/>
  <c r="N78" i="43"/>
  <c r="J90" i="41"/>
  <c r="F81" i="43"/>
  <c r="F8" i="43"/>
  <c r="J66" i="7"/>
  <c r="J71" i="38"/>
  <c r="J72" i="38"/>
  <c r="J85" i="38"/>
  <c r="J10" i="38"/>
  <c r="J76" i="41"/>
  <c r="J84" i="38"/>
  <c r="J91" i="41"/>
  <c r="J10" i="41"/>
  <c r="J77" i="41"/>
  <c r="J81" i="43"/>
  <c r="J82" i="43"/>
  <c r="J97" i="43"/>
  <c r="J10" i="43"/>
  <c r="N5" i="41"/>
  <c r="N93" i="41"/>
  <c r="J67" i="7"/>
  <c r="J79" i="7"/>
  <c r="J10" i="7"/>
  <c r="J96" i="43"/>
  <c r="N87" i="38"/>
  <c r="N5" i="38"/>
  <c r="M32" i="38"/>
  <c r="N32" i="38"/>
  <c r="M79" i="38"/>
  <c r="N79" i="38"/>
  <c r="M19" i="38"/>
  <c r="N19" i="38"/>
  <c r="M57" i="38"/>
  <c r="N57" i="38"/>
  <c r="M53" i="38"/>
  <c r="N53" i="38"/>
  <c r="M81" i="38"/>
  <c r="N81" i="38"/>
  <c r="M33" i="38"/>
  <c r="N33" i="38"/>
  <c r="M65" i="38"/>
  <c r="N65" i="38"/>
  <c r="M44" i="38"/>
  <c r="N44" i="38"/>
  <c r="M68" i="38"/>
  <c r="N68" i="38"/>
  <c r="M23" i="38"/>
  <c r="N23" i="38"/>
  <c r="M28" i="38"/>
  <c r="N28" i="38"/>
  <c r="M55" i="38"/>
  <c r="N55" i="38"/>
  <c r="M22" i="38"/>
  <c r="N22" i="38"/>
  <c r="M30" i="38"/>
  <c r="N30" i="38"/>
  <c r="M46" i="38"/>
  <c r="N46" i="38"/>
  <c r="M47" i="38"/>
  <c r="N47" i="38"/>
  <c r="M18" i="38"/>
  <c r="N18" i="38"/>
  <c r="M58" i="38"/>
  <c r="N58" i="38"/>
  <c r="M80" i="38"/>
  <c r="N80" i="38"/>
  <c r="M43" i="38"/>
  <c r="N43" i="38"/>
  <c r="M31" i="38"/>
  <c r="N31" i="38"/>
  <c r="M20" i="38"/>
  <c r="N20" i="38"/>
  <c r="M42" i="38"/>
  <c r="N42" i="38"/>
  <c r="M56" i="38"/>
  <c r="N56" i="38"/>
  <c r="M66" i="38"/>
  <c r="N66" i="38"/>
  <c r="M82" i="38"/>
  <c r="N82" i="38"/>
  <c r="M78" i="38"/>
  <c r="N78" i="38"/>
  <c r="M45" i="38"/>
  <c r="N45" i="38"/>
  <c r="M69" i="38"/>
  <c r="N69" i="38"/>
  <c r="M64" i="38"/>
  <c r="N64" i="38"/>
  <c r="M67" i="38"/>
  <c r="N67" i="38"/>
  <c r="M54" i="38"/>
  <c r="N54" i="38"/>
  <c r="M21" i="38"/>
  <c r="N21" i="38"/>
  <c r="M29" i="38"/>
  <c r="N29" i="38"/>
  <c r="N99" i="43"/>
  <c r="N5" i="43"/>
  <c r="N90" i="41"/>
  <c r="N78" i="7"/>
  <c r="N96" i="43"/>
  <c r="N66" i="7"/>
  <c r="N76" i="41"/>
  <c r="N79" i="7"/>
  <c r="N10" i="7"/>
  <c r="N67" i="7"/>
  <c r="N81" i="43"/>
  <c r="N84" i="38"/>
  <c r="N82" i="43"/>
  <c r="N97" i="43"/>
  <c r="N10" i="43"/>
  <c r="N85" i="38"/>
  <c r="N10" i="38"/>
  <c r="N72" i="38"/>
  <c r="N77" i="41"/>
  <c r="N91" i="41"/>
  <c r="N10" i="41"/>
  <c r="N71" i="38"/>
</calcChain>
</file>

<file path=xl/sharedStrings.xml><?xml version="1.0" encoding="utf-8"?>
<sst xmlns="http://schemas.openxmlformats.org/spreadsheetml/2006/main" count="2381" uniqueCount="259">
  <si>
    <t>State and Local Total</t>
  </si>
  <si>
    <t>Local Per Capita</t>
  </si>
  <si>
    <t>Met</t>
  </si>
  <si>
    <t>Object Description</t>
  </si>
  <si>
    <t>Code</t>
  </si>
  <si>
    <t>Local</t>
  </si>
  <si>
    <t>State</t>
  </si>
  <si>
    <t>State and Local</t>
  </si>
  <si>
    <t>Grand Totals</t>
  </si>
  <si>
    <t>Local  Total</t>
  </si>
  <si>
    <t xml:space="preserve">Exceptions to Maintenance of Effort as Permitted by §300.204 </t>
  </si>
  <si>
    <t>Adjustment to Maintenance of Effort as Permitted by §300.205</t>
  </si>
  <si>
    <t>2016-2017 Budget</t>
  </si>
  <si>
    <t>(b) A decrease in the enrollment of children with disabilities.</t>
  </si>
  <si>
    <t>Local Total Amount</t>
  </si>
  <si>
    <t>State and Local Total Amount</t>
  </si>
  <si>
    <t>Local Per Capita Amount</t>
  </si>
  <si>
    <t>State and Local Per Capita Amount</t>
  </si>
  <si>
    <t>Calculations</t>
  </si>
  <si>
    <t>METHOD 1: LOCAL TOTAL</t>
  </si>
  <si>
    <t>Comparison Year Amount</t>
  </si>
  <si>
    <t>Departing Personnel</t>
  </si>
  <si>
    <t>Position Title</t>
  </si>
  <si>
    <t>Employee Name</t>
  </si>
  <si>
    <t>Reason for Leaving</t>
  </si>
  <si>
    <t>Departing Total</t>
  </si>
  <si>
    <t>Replacement Personnel</t>
  </si>
  <si>
    <t>Replacement Total</t>
  </si>
  <si>
    <t>Net Allowed Reduction (Departing - Replacement)</t>
  </si>
  <si>
    <t>Reason</t>
  </si>
  <si>
    <t>Total (Net Allowed Reduction)</t>
  </si>
  <si>
    <t>Cost in Final Year of Expenditure</t>
  </si>
  <si>
    <t>Description</t>
  </si>
  <si>
    <t xml:space="preserve"> Cost Assumed by SEA</t>
  </si>
  <si>
    <t>Local Total</t>
  </si>
  <si>
    <t>(a) The voluntary departure, by retirement or otherwise, or  departure</t>
  </si>
  <si>
    <t>for just cause, of special education or related services personnel.</t>
  </si>
  <si>
    <t>(c) The termination of the obligation of the agency to provide special</t>
  </si>
  <si>
    <t>exceptionally costly program due to any of the following reasons:</t>
  </si>
  <si>
    <t>of special education.</t>
  </si>
  <si>
    <t xml:space="preserve">left the jurisdiction, aged out, or no longer needs the program </t>
  </si>
  <si>
    <t xml:space="preserve">education to a particular student with a disability that is an </t>
  </si>
  <si>
    <t>(d) Termination of costly expenditures for long-term purchases, such</t>
  </si>
  <si>
    <t>as the acquisition of equipment or construction of school facilities.</t>
  </si>
  <si>
    <t xml:space="preserve">(e) The assumption of cost by the high cost fund operated by the SEA </t>
  </si>
  <si>
    <t>Total Exceptions</t>
  </si>
  <si>
    <t>Total Adjustment</t>
  </si>
  <si>
    <t>NOTE: Enter Exceptions data</t>
  </si>
  <si>
    <t>for each year.</t>
  </si>
  <si>
    <t>METHOD 2: STATE AND LOCAL TOTAL</t>
  </si>
  <si>
    <t>METHOD 3: LOCAL PER CAPITA</t>
  </si>
  <si>
    <t>Per Capita Amounts</t>
  </si>
  <si>
    <t>METHOD 4: STATE AND LOCAL PER CAPITA</t>
  </si>
  <si>
    <t>State &amp; Local Per Capita</t>
  </si>
  <si>
    <t>Comparison Year</t>
  </si>
  <si>
    <t>MOE Result</t>
  </si>
  <si>
    <t>Did Not Meet</t>
  </si>
  <si>
    <t xml:space="preserve">NOTE: SCROLL TO THE RIGHT TO SEE PER CAPITA METHODS </t>
  </si>
  <si>
    <t>Local Total MOE Result</t>
  </si>
  <si>
    <t>State and Local Total MOE Result</t>
  </si>
  <si>
    <t>Local Per Capita MOE Result</t>
  </si>
  <si>
    <t>State and Local Per Capita MOE Result</t>
  </si>
  <si>
    <t>Student Identifier</t>
  </si>
  <si>
    <t>Column1</t>
  </si>
  <si>
    <t>Column2</t>
  </si>
  <si>
    <t>Projected 2016-17 Enrollment</t>
  </si>
  <si>
    <t xml:space="preserve">2015-16 Enrollment </t>
  </si>
  <si>
    <t>Difference (must be (-) to apply exception)</t>
  </si>
  <si>
    <t>Percent Difference</t>
  </si>
  <si>
    <t>2015-16 Budget</t>
  </si>
  <si>
    <t>Allowed Reduction</t>
  </si>
  <si>
    <t>Adjustment Taken</t>
  </si>
  <si>
    <t>Yes</t>
  </si>
  <si>
    <t>No</t>
  </si>
  <si>
    <t>Year</t>
  </si>
  <si>
    <t>Amount</t>
  </si>
  <si>
    <t>on the Exception/Adjustment tab</t>
  </si>
  <si>
    <t xml:space="preserve">Total Exceptions </t>
  </si>
  <si>
    <t xml:space="preserve">Total Adjustments </t>
  </si>
  <si>
    <t>2015-16 Enrollment</t>
  </si>
  <si>
    <t xml:space="preserve">2014-15 Enrollment </t>
  </si>
  <si>
    <t>2014-15 Expenditures</t>
  </si>
  <si>
    <t xml:space="preserve">2013-14 Enrollment </t>
  </si>
  <si>
    <t>2013-14 Expenditures</t>
  </si>
  <si>
    <t xml:space="preserve">2012-13 Enrollment </t>
  </si>
  <si>
    <t>2012-13 Expenditures</t>
  </si>
  <si>
    <t xml:space="preserve">2011-12 Enrollment </t>
  </si>
  <si>
    <t>2011-12 Expenditures</t>
  </si>
  <si>
    <t>Adjustment to Maintenance of Effort as Permitted by 34 CFR §300.205</t>
  </si>
  <si>
    <t>No longer needs the program of special education</t>
  </si>
  <si>
    <t>Exception c</t>
  </si>
  <si>
    <t>Moved</t>
  </si>
  <si>
    <t>Aged out</t>
  </si>
  <si>
    <t>Multi-Year MOE Summary</t>
  </si>
  <si>
    <t>Salary</t>
  </si>
  <si>
    <t>Benefits</t>
  </si>
  <si>
    <t>Cost Assumed by SEA</t>
  </si>
  <si>
    <t>Adjustment</t>
  </si>
  <si>
    <t>State and Local Per Capita</t>
  </si>
  <si>
    <t>Child Count Last Year Met</t>
  </si>
  <si>
    <t>Total Per Capita Exceptions</t>
  </si>
  <si>
    <t>Total Exceptions Amount</t>
  </si>
  <si>
    <t>Total Adjustments Amount</t>
  </si>
  <si>
    <t>Total Per Capita Adjustments</t>
  </si>
  <si>
    <t>These amounts must be based on</t>
  </si>
  <si>
    <t>a method allowed by the SEA and</t>
  </si>
  <si>
    <t>that is justifiable and consistent</t>
  </si>
  <si>
    <t>with IDEA regulations.</t>
  </si>
  <si>
    <t>Standard</t>
  </si>
  <si>
    <t>Compliance</t>
  </si>
  <si>
    <t>Eligibility</t>
  </si>
  <si>
    <t>Which standard do you want to measure?</t>
  </si>
  <si>
    <t>Enter the requested information below</t>
  </si>
  <si>
    <t>Information</t>
  </si>
  <si>
    <t>2016-2017 Final Expenditures</t>
  </si>
  <si>
    <t xml:space="preserve">NOTE: SCROLL TO THE RIGHT TO ENTER DATA FOR EXPENDITURES </t>
  </si>
  <si>
    <t>2016-17 Amount</t>
  </si>
  <si>
    <t>2016-17 Enrollment</t>
  </si>
  <si>
    <t>2015-16 Expenditures</t>
  </si>
  <si>
    <t>2011-2012</t>
  </si>
  <si>
    <t>2012-2013</t>
  </si>
  <si>
    <t>2013-2014</t>
  </si>
  <si>
    <t>2014-2015</t>
  </si>
  <si>
    <t>2015-2016</t>
  </si>
  <si>
    <t>2016-2017</t>
  </si>
  <si>
    <t>Compliance (Expenditures)</t>
  </si>
  <si>
    <t>2015-2016 Budget</t>
  </si>
  <si>
    <t>2015-2016 Final Expenditures</t>
  </si>
  <si>
    <t>2015-16 Amount</t>
  </si>
  <si>
    <t>Amount of IDEA Part B, Section 611 Subgrant </t>
  </si>
  <si>
    <t>Amount of IDEA Part B, Section 619 Subgrant</t>
  </si>
  <si>
    <t>Total IDEA Part B Subgrant</t>
  </si>
  <si>
    <t>2012-13</t>
  </si>
  <si>
    <t>2013-14</t>
  </si>
  <si>
    <t>2014-15</t>
  </si>
  <si>
    <t>2015-16</t>
  </si>
  <si>
    <t>2016-17</t>
  </si>
  <si>
    <t>2017-18</t>
  </si>
  <si>
    <t>2018-19</t>
  </si>
  <si>
    <t>2019-20</t>
  </si>
  <si>
    <t xml:space="preserve">Does your state have a high cost fund operated by the SEA under §300.704(c)? </t>
  </si>
  <si>
    <t>Please select yes or no for each year.</t>
  </si>
  <si>
    <t>Yearly shortfalls by method</t>
  </si>
  <si>
    <t>Met with Exceptions or Adjustments</t>
  </si>
  <si>
    <t>Yes/No</t>
  </si>
  <si>
    <t>MOE Tab</t>
  </si>
  <si>
    <t>2017-2018</t>
  </si>
  <si>
    <t>2018-2019</t>
  </si>
  <si>
    <t>2019-2020</t>
  </si>
  <si>
    <t>2019-2020 Budget</t>
  </si>
  <si>
    <t>2019-2020 Final Expenditures</t>
  </si>
  <si>
    <t>2018-2019 Budget</t>
  </si>
  <si>
    <t>2018-2019 Final Expenditures</t>
  </si>
  <si>
    <t>2017-2018 Budget</t>
  </si>
  <si>
    <t>2017-2018 Final Expenditures</t>
  </si>
  <si>
    <t>Projected 2017-18 Enrollment</t>
  </si>
  <si>
    <t xml:space="preserve">2016-17 Enrollment </t>
  </si>
  <si>
    <t>2016-17 Budget</t>
  </si>
  <si>
    <t>2017-18 Enrollment</t>
  </si>
  <si>
    <t>2016-17 Expenditures</t>
  </si>
  <si>
    <t>Projected 2018-19 Enrollment</t>
  </si>
  <si>
    <t xml:space="preserve">2017-18 Enrollment </t>
  </si>
  <si>
    <t>2017-18 Budget</t>
  </si>
  <si>
    <t>2018-19 Enrollment</t>
  </si>
  <si>
    <t>2017-18 Expenditures</t>
  </si>
  <si>
    <t>Projected 2019-20 Enrollment</t>
  </si>
  <si>
    <t xml:space="preserve">2018-19 Enrollment </t>
  </si>
  <si>
    <t>2018-19 Budget</t>
  </si>
  <si>
    <t>2019-20 Enrollment</t>
  </si>
  <si>
    <t>2018-19 Expenditures</t>
  </si>
  <si>
    <t>2017-18 Amount</t>
  </si>
  <si>
    <t>2018-19 Amount</t>
  </si>
  <si>
    <t>2019-20 Amount</t>
  </si>
  <si>
    <t>Total Budget</t>
  </si>
  <si>
    <t>Total Expenditures</t>
  </si>
  <si>
    <t>Budgeted Cost</t>
  </si>
  <si>
    <t>Budgeted Cost in Final Year</t>
  </si>
  <si>
    <t>Budgeted Cost Assumed by SEA</t>
  </si>
  <si>
    <t>Expenditures</t>
  </si>
  <si>
    <t xml:space="preserve">Adjustment </t>
  </si>
  <si>
    <t>Projected Adjustment</t>
  </si>
  <si>
    <t>Total (Net Projected Reduction)</t>
  </si>
  <si>
    <t>Net Projected Reduction (Departing - Replacement)</t>
  </si>
  <si>
    <t>Projected Reduction</t>
  </si>
  <si>
    <t xml:space="preserve">Projected Adjustment </t>
  </si>
  <si>
    <t>Expenditure</t>
  </si>
  <si>
    <t xml:space="preserve">Budgeted Cost in Final Year </t>
  </si>
  <si>
    <t>You can create a link in any shaded cell on the Amounts, Exc &amp; Adj, or Multi-Year Summary tabs to this sheet.</t>
  </si>
  <si>
    <t>This worksheet is available for LEAs or SEAs to use as needed.</t>
  </si>
  <si>
    <t>Code 2</t>
  </si>
  <si>
    <t>Code 1</t>
  </si>
  <si>
    <t>It can be used for calculations for the Amounts tabs or the Exc &amp; Adj tabs, or for historical LEA MOE data (prior to 2015-16) for the Multi-Year Summary tab.</t>
  </si>
  <si>
    <t>2011-12</t>
  </si>
  <si>
    <t>2010-2011</t>
  </si>
  <si>
    <t xml:space="preserve">2010-11 Enrollment </t>
  </si>
  <si>
    <t>2010-11 Expenditures</t>
  </si>
  <si>
    <t>Graduated with a regular diploma</t>
  </si>
  <si>
    <t xml:space="preserve">Would you like the spreadsheet to calculate Exception (b) (decrease in child count) for you? </t>
  </si>
  <si>
    <t>Repayment Amount (Compliance Test Only)</t>
  </si>
  <si>
    <t>Date SEA Paid Amount (from Non-federal Funds) to the US Treasury</t>
  </si>
  <si>
    <t>Date LEA Paid Amount (from Non-federal Funds) to the SEA, if required</t>
  </si>
  <si>
    <t xml:space="preserve">Initial Difference </t>
  </si>
  <si>
    <t>Difference with Exceptions</t>
  </si>
  <si>
    <t>Final Shortfall</t>
  </si>
  <si>
    <t>Child Count</t>
  </si>
  <si>
    <t>Projected Child Count</t>
  </si>
  <si>
    <t>Fiscal Year</t>
  </si>
  <si>
    <t>Eligibility Standard - Fiscal Year 2015-2016 -  LEA Effort - Budgeted Amounts</t>
  </si>
  <si>
    <t>Compliance Standard - Fiscal Year 2015-2016 - LEA Effort - Final Expenditures</t>
  </si>
  <si>
    <t>Eligibility Standard - Fiscal Year 2016-2017 -  LEA Effort - Budgeted Amounts</t>
  </si>
  <si>
    <t>Compliance Standard - Fiscal Year 2016-2017 - LEA Effort - Final Expenditures</t>
  </si>
  <si>
    <t>Eligibility Standard - Fiscal Year 2017-2018 -  LEA Effort - Budgeted Amounts</t>
  </si>
  <si>
    <t>Compliance Standard - Fiscal Year 2017-2018 - LEA Effort - Final Expenditures</t>
  </si>
  <si>
    <t>Eligibility Standard - Fiscal Year 2018-2019 -  LEA Effort - Budgeted Amounts</t>
  </si>
  <si>
    <t>Compliance Standard - Fiscal Year 2018-2019 - LEA Effort - Final Expenditures</t>
  </si>
  <si>
    <t>Eligibility Standard - Fiscal Year 2019-2020 -  LEA Effort - Budgeted Amounts</t>
  </si>
  <si>
    <t>Compliance Standard - Fiscal Year 2019-2020 - LEA Effort - Final Expenditures</t>
  </si>
  <si>
    <t>Start of state fiscal year (month and day)</t>
  </si>
  <si>
    <t>End of state fiscal year (month and day)</t>
  </si>
  <si>
    <t>This cell intentionally left blank.</t>
  </si>
  <si>
    <t>Met as Baseline</t>
  </si>
  <si>
    <t>End of worksheet</t>
  </si>
  <si>
    <t>under §300.704. MUST be explicitly permitted by the SEA.</t>
  </si>
  <si>
    <t>Are you able to separately account for the budgeting and expenditure of local funds and state funds from 2010-11 to the present year?</t>
  </si>
  <si>
    <t xml:space="preserve">To calculate your adjustment, use </t>
  </si>
  <si>
    <t>IDC's MOE Reduction Eligibility Decision Tree and Worksheet.</t>
  </si>
  <si>
    <t>Exception (a) The voluntary departure, by retirement or otherwise, or departure for just cause, of special education</t>
  </si>
  <si>
    <t>Exception (b) A decrease in the enrollment of children with disabilities (option 1: entered by LEA or state).</t>
  </si>
  <si>
    <t>Exception (b) A decrease in the enrollment of children with disabilities (option 2: auto-calculated).</t>
  </si>
  <si>
    <t>Exception (c) The termination of the obligation of the agency to provide special education to a particular</t>
  </si>
  <si>
    <t>the jurisdiction, aged out, or no longer needs the program of special education.</t>
  </si>
  <si>
    <t>student with a disability that is an exceptionally costly program due to any of the following reasons: left</t>
  </si>
  <si>
    <t>such as the acquisition of equipment or construction of school facilities.</t>
  </si>
  <si>
    <t xml:space="preserve">Exception (d) Termination of costly expenditures for long-term purchases, </t>
  </si>
  <si>
    <t>SEA under §300.704. MUST be explicitly permitted by the SEA.</t>
  </si>
  <si>
    <t>Exception (e) The assumption of cost by the high cost fund operated by the</t>
  </si>
  <si>
    <t>or related services personnel. (Only include salary and benefits paid from state and/or local funds)</t>
  </si>
  <si>
    <t>Compliance Standard -- Exceptions to MOE as Permitted by 34 CFR §300.204 and Adjustment to MOE as Permitted by 34 CFR §300.205 -- Final Expenditures for 2015-2016</t>
  </si>
  <si>
    <t>Eligibility Standard -- Exceptions to MOE as Permitted by 34 CFR §300.204 and Adjustment to MOE as Permitted by 34 CFR §300.205 -- Projections for 2016-2017 Budget</t>
  </si>
  <si>
    <t>Eligibility Standard -- Exceptions to MOE as Permitted by 34 CFR §300.204 and Adjustment to MOE as Permitted by 34 CFR §300.205 -- Projections for 2017-2018 Budget</t>
  </si>
  <si>
    <t>Eligibility Standard -- Exceptions to MOE as Permitted by 34 CFR §300.204 and Adjustment to MOE as Permitted by 34 CFR §300.205 -- Projections for 2018-2019 Budget</t>
  </si>
  <si>
    <t>Eligibility Standard -- Exceptions to MOE as Permitted by 34 CFR §300.204 and Adjustment to MOE as Permitted by 34 CFR §300.205 -- Projections for 2015-2016 Budget</t>
  </si>
  <si>
    <t>Eligibility Standard -- Exceptions to MOE as Permitted by 34 CFR §300.204 and Adjustment to MOE as Permitted by 34 CFR §300.205 -- Projections for 2019-2020 Budget</t>
  </si>
  <si>
    <t>Exceptions to MOE as Permitted by 34 CFR §300.204 and Adjustment to MOE as Permitted by 34 CFR §300.205 -- 2011-2012</t>
  </si>
  <si>
    <t>Exceptions to MOE as Permitted by 34 CFR §300.204 and Adjustment to MOE as Permitted by 34 CFR §300.205 -- 2012-2013</t>
  </si>
  <si>
    <t>Exceptions to MOE as Permitted by 34 CFR §300.204 and Adjustment to MOE as Permitted by 34 CFR §300.205 -- 2013-2014</t>
  </si>
  <si>
    <t>Exceptions to MOE as Permitted by 34 CFR §300.204 and Adjustment to MOE as Permitted by 34 CFR §300.205 -- 2014-2015</t>
  </si>
  <si>
    <t>Compliance Standard -- Exceptions to MOE as Permitted by 34 CFR §300.204 and Adjustment to MOE as Permitted by 34 CFR §300.205 -- 2019-2020 Final Expenditures</t>
  </si>
  <si>
    <t>Compliance Standard -- Exceptions to MOE as Permitted by 34 CFR §300.204 and Adjustment to MOE as Permitted by 34 CFR §300.205 -- 2018-2019 Final Expenditures</t>
  </si>
  <si>
    <t>Compliance Standard -- Exceptions to MOE as Permitted by 34 CFR §300.204 and Adjustment to MOE as Permitted by 34 CFR §300.205 -- 2017-2018 Final Expenditures</t>
  </si>
  <si>
    <t>Compliance Standard -- Exceptions to MOE as Permitted by 34 CFR §300.204 and Adjustment to MOE as Permitted by 34 CFR §300.205 -- 2016-2017 Final Expenditures</t>
  </si>
  <si>
    <t>The Center for IDEA Fiscal Reporting makes the LEA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</si>
  <si>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http://cifr.wested.org/resources/lea-moe/calculator/.</t>
  </si>
  <si>
    <t xml:space="preserve"> http://cifr.wested.org/resources/lea-moe/calculator/.</t>
  </si>
  <si>
    <t>LEA Name</t>
  </si>
  <si>
    <t>LEA ID</t>
  </si>
  <si>
    <t>The Center for IDEA Fiscal Reporting makes the Local Educational Agency (LEA) Maintenance of Effort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</si>
  <si>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r>
      <t xml:space="preserve">Local Educational Agency Maintenance of Effort Calculator
</t>
    </r>
    <r>
      <rPr>
        <sz val="16"/>
        <color rgb="FF000000"/>
        <rFont val="Calibri"/>
        <family val="2"/>
        <scheme val="minor"/>
      </rPr>
      <t>v1.3, published January 10, 2019</t>
    </r>
    <r>
      <rPr>
        <sz val="36"/>
        <color rgb="FF000000"/>
        <rFont val="Calibri"/>
        <family val="2"/>
        <scheme val="minor"/>
      </rPr>
      <t xml:space="preserve">
</t>
    </r>
  </si>
  <si>
    <t xml:space="preserve">Version 1.3, January 2019. Please ensure that you are using the most recent version of the Calculator by going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</si>
</sst>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d/yyyy;@"/>
    <numFmt numFmtId="165" formatCode="m/d;@"/>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4"/>
      <color theme="1"/>
      <name val="Calibri"/>
      <family val="2"/>
      <scheme val="minor"/>
    </font>
    <font>
      <sz val="12"/>
      <name val="Calibri"/>
      <family val="2"/>
      <scheme val="minor"/>
    </font>
    <font>
      <b/>
      <sz val="14"/>
      <name val="Calibri"/>
      <family val="2"/>
      <scheme val="minor"/>
    </font>
    <font>
      <b/>
      <sz val="12"/>
      <name val="Calibri"/>
      <family val="2"/>
      <scheme val="minor"/>
    </font>
    <font>
      <sz val="12"/>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b/>
      <sz val="11"/>
      <name val="Calibri"/>
      <family val="2"/>
      <scheme val="minor"/>
    </font>
    <font>
      <sz val="14"/>
      <name val="Calibri"/>
      <family val="2"/>
      <scheme val="minor"/>
    </font>
    <font>
      <sz val="11"/>
      <name val="Calibri"/>
      <family val="2"/>
      <scheme val="minor"/>
    </font>
    <font>
      <sz val="14"/>
      <color rgb="FFFF0000"/>
      <name val="Calibri"/>
      <family val="2"/>
      <scheme val="minor"/>
    </font>
    <font>
      <b/>
      <sz val="12"/>
      <color theme="0"/>
      <name val="Calibri"/>
      <family val="2"/>
      <scheme val="minor"/>
    </font>
    <font>
      <sz val="12"/>
      <color theme="0"/>
      <name val="Calibri"/>
      <family val="2"/>
      <scheme val="minor"/>
    </font>
    <font>
      <sz val="36"/>
      <color rgb="FF000000"/>
      <name val="Calibri"/>
      <family val="2"/>
      <scheme val="minor"/>
    </font>
    <font>
      <b/>
      <sz val="12"/>
      <color rgb="FFFF0000"/>
      <name val="Calibri"/>
      <family val="2"/>
      <scheme val="minor"/>
    </font>
    <font>
      <b/>
      <sz val="14"/>
      <color theme="1"/>
      <name val="Calibri"/>
      <family val="2"/>
      <scheme val="minor"/>
    </font>
    <font>
      <sz val="12"/>
      <color theme="1"/>
      <name val="Calibri"/>
      <family val="2"/>
      <scheme val="minor"/>
    </font>
    <font>
      <sz val="12"/>
      <name val="Calibri"/>
      <family val="2"/>
      <scheme val="minor"/>
    </font>
    <font>
      <sz val="11"/>
      <color theme="0"/>
      <name val="Calibri"/>
      <family val="2"/>
      <scheme val="minor"/>
    </font>
    <font>
      <b/>
      <sz val="14"/>
      <color theme="0"/>
      <name val="Calibri"/>
      <family val="2"/>
      <scheme val="minor"/>
    </font>
    <font>
      <b/>
      <u/>
      <sz val="12"/>
      <color theme="10"/>
      <name val="Calibri"/>
      <family val="2"/>
      <scheme val="minor"/>
    </font>
    <font>
      <b/>
      <sz val="12"/>
      <name val="Calibri"/>
      <family val="2"/>
      <scheme val="minor"/>
    </font>
    <font>
      <b/>
      <sz val="9"/>
      <color rgb="FF000000"/>
      <name val="Calibri"/>
      <family val="2"/>
      <scheme val="minor"/>
    </font>
    <font>
      <b/>
      <sz val="11"/>
      <color rgb="FF000000"/>
      <name val="Calibri"/>
      <family val="2"/>
      <scheme val="minor"/>
    </font>
    <font>
      <sz val="16"/>
      <color rgb="FF000000"/>
      <name val="Calibri"/>
      <family val="2"/>
      <scheme val="minor"/>
    </font>
    <font>
      <i/>
      <sz val="9"/>
      <color rgb="FF000000"/>
      <name val="Calibri"/>
      <family val="2"/>
      <scheme val="minor"/>
    </font>
    <font>
      <u/>
      <sz val="9"/>
      <color theme="10"/>
      <name val="Calibri"/>
      <family val="2"/>
      <scheme val="minor"/>
    </font>
    <font>
      <b/>
      <sz val="9"/>
      <color theme="0"/>
      <name val="Calibri"/>
      <family val="2"/>
      <scheme val="minor"/>
    </font>
    <font>
      <b/>
      <sz val="9"/>
      <color theme="1"/>
      <name val="Calibri"/>
      <family val="2"/>
      <scheme val="minor"/>
    </font>
    <font>
      <sz val="9"/>
      <color theme="0"/>
      <name val="Calibri"/>
      <family val="2"/>
      <scheme val="minor"/>
    </font>
    <font>
      <sz val="9"/>
      <color theme="1"/>
      <name val="Calibri"/>
      <family val="2"/>
      <scheme val="minor"/>
    </font>
    <font>
      <b/>
      <u/>
      <sz val="9"/>
      <color theme="10"/>
      <name val="Calibri"/>
      <family val="2"/>
      <scheme val="minor"/>
    </font>
    <font>
      <sz val="12"/>
      <name val="Calibri"/>
      <scheme val="minor"/>
    </font>
    <font>
      <sz val="12"/>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indexed="64"/>
      </patternFill>
    </fill>
  </fills>
  <borders count="7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theme="0"/>
      </left>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right/>
      <top/>
      <bottom style="thick">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thin">
        <color theme="0"/>
      </left>
      <right/>
      <top style="thin">
        <color auto="1"/>
      </top>
      <bottom style="medium">
        <color auto="1"/>
      </bottom>
      <diagonal/>
    </border>
    <border>
      <left style="thin">
        <color auto="1"/>
      </left>
      <right style="medium">
        <color auto="1"/>
      </right>
      <top style="medium">
        <color auto="1"/>
      </top>
      <bottom/>
      <diagonal/>
    </border>
    <border>
      <left/>
      <right/>
      <top style="thin">
        <color auto="1"/>
      </top>
      <bottom style="medium">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n">
        <color auto="1"/>
      </left>
      <right/>
      <top style="thick">
        <color auto="1"/>
      </top>
      <bottom style="thin">
        <color auto="1"/>
      </bottom>
      <diagonal/>
    </border>
    <border>
      <left/>
      <right style="medium">
        <color auto="1"/>
      </right>
      <top style="medium">
        <color auto="1"/>
      </top>
      <bottom style="medium">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style="thin">
        <color auto="1"/>
      </bottom>
      <diagonal/>
    </border>
    <border>
      <left style="thick">
        <color auto="1"/>
      </left>
      <right/>
      <top style="thin">
        <color auto="1"/>
      </top>
      <bottom/>
      <diagonal/>
    </border>
    <border>
      <left style="thin">
        <color auto="1"/>
      </left>
      <right style="thick">
        <color auto="1"/>
      </right>
      <top style="thick">
        <color auto="1"/>
      </top>
      <bottom style="thin">
        <color auto="1"/>
      </bottom>
      <diagonal/>
    </border>
    <border>
      <left/>
      <right/>
      <top style="thick">
        <color auto="1"/>
      </top>
      <bottom style="thin">
        <color auto="1"/>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top style="medium">
        <color auto="1"/>
      </top>
      <bottom/>
      <diagonal/>
    </border>
    <border>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theme="0"/>
      </left>
      <right style="thin">
        <color theme="0"/>
      </right>
      <top style="thin">
        <color theme="0"/>
      </top>
      <bottom style="thin">
        <color theme="0"/>
      </bottom>
      <diagonal/>
    </border>
  </borders>
  <cellStyleXfs count="9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4" fillId="0" borderId="0"/>
    <xf numFmtId="0" fontId="8" fillId="0" borderId="0" applyNumberFormat="0" applyFill="0" applyBorder="0" applyAlignment="0" applyProtection="0"/>
  </cellStyleXfs>
  <cellXfs count="511">
    <xf numFmtId="0" fontId="0" fillId="0" borderId="0" xfId="0"/>
    <xf numFmtId="0" fontId="7" fillId="0" borderId="0" xfId="0" applyFont="1"/>
    <xf numFmtId="0" fontId="7" fillId="0" borderId="0" xfId="0" applyFont="1" applyAlignment="1">
      <alignment horizontal="center"/>
    </xf>
    <xf numFmtId="0" fontId="0" fillId="0" borderId="0" xfId="0" applyAlignment="1">
      <alignment vertical="center"/>
    </xf>
    <xf numFmtId="0" fontId="10" fillId="0" borderId="0" xfId="0" applyFont="1" applyAlignment="1">
      <alignment vertical="center"/>
    </xf>
    <xf numFmtId="0" fontId="10" fillId="0" borderId="0" xfId="0" applyFont="1" applyAlignment="1">
      <alignment horizontal="center" wrapText="1"/>
    </xf>
    <xf numFmtId="0" fontId="10"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Alignment="1">
      <alignment horizontal="centerContinuous"/>
    </xf>
    <xf numFmtId="0" fontId="11" fillId="0" borderId="0" xfId="0" applyFont="1" applyBorder="1" applyAlignment="1">
      <alignment horizontal="centerContinuous"/>
    </xf>
    <xf numFmtId="0" fontId="10" fillId="0" borderId="18"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26" xfId="0" applyFont="1" applyBorder="1" applyAlignment="1">
      <alignment horizontal="centerContinuous" vertical="center"/>
    </xf>
    <xf numFmtId="0" fontId="7" fillId="0" borderId="27" xfId="0" applyFont="1" applyBorder="1" applyAlignment="1">
      <alignment horizontal="centerContinuous" vertical="center"/>
    </xf>
    <xf numFmtId="0" fontId="12" fillId="2" borderId="21" xfId="0" applyFont="1" applyFill="1" applyBorder="1"/>
    <xf numFmtId="0" fontId="12" fillId="2" borderId="23" xfId="0" applyFont="1" applyFill="1" applyBorder="1"/>
    <xf numFmtId="0" fontId="12" fillId="2" borderId="22" xfId="0" applyFont="1" applyFill="1" applyBorder="1"/>
    <xf numFmtId="0" fontId="0" fillId="0" borderId="0" xfId="0" applyFill="1" applyBorder="1" applyAlignment="1"/>
    <xf numFmtId="0" fontId="22" fillId="0" borderId="0" xfId="0" applyFont="1" applyAlignment="1">
      <alignment vertical="top"/>
    </xf>
    <xf numFmtId="0" fontId="18" fillId="3" borderId="16" xfId="0" applyFont="1" applyFill="1" applyBorder="1" applyAlignment="1" applyProtection="1">
      <alignment vertical="center"/>
      <protection locked="0"/>
    </xf>
    <xf numFmtId="44" fontId="18" fillId="3" borderId="9" xfId="92" applyFont="1" applyFill="1" applyBorder="1" applyAlignment="1" applyProtection="1">
      <alignment horizontal="left" vertical="center"/>
      <protection locked="0"/>
    </xf>
    <xf numFmtId="44" fontId="18" fillId="3" borderId="9" xfId="92" applyFont="1" applyFill="1" applyBorder="1" applyAlignment="1" applyProtection="1">
      <alignment vertical="center"/>
      <protection locked="0"/>
    </xf>
    <xf numFmtId="0" fontId="18" fillId="3" borderId="34" xfId="0" applyFont="1" applyFill="1" applyBorder="1" applyAlignment="1" applyProtection="1">
      <alignment vertical="center"/>
      <protection locked="0"/>
    </xf>
    <xf numFmtId="0" fontId="18" fillId="3" borderId="8" xfId="0" applyFont="1" applyFill="1" applyBorder="1" applyAlignment="1" applyProtection="1">
      <alignment horizontal="left" vertical="center"/>
      <protection locked="0"/>
    </xf>
    <xf numFmtId="0" fontId="10" fillId="0" borderId="41" xfId="0" applyFont="1" applyBorder="1" applyAlignment="1">
      <alignment vertical="center"/>
    </xf>
    <xf numFmtId="44" fontId="0" fillId="2" borderId="24" xfId="92" applyNumberFormat="1" applyFont="1" applyFill="1" applyBorder="1" applyAlignment="1">
      <alignment vertical="center"/>
    </xf>
    <xf numFmtId="44" fontId="0" fillId="2" borderId="16" xfId="92" applyNumberFormat="1" applyFont="1" applyFill="1" applyBorder="1" applyAlignment="1">
      <alignment vertical="center"/>
    </xf>
    <xf numFmtId="0" fontId="14" fillId="2" borderId="39" xfId="0" applyFont="1" applyFill="1" applyBorder="1" applyAlignment="1">
      <alignment horizontal="center" vertical="center" wrapText="1"/>
    </xf>
    <xf numFmtId="0" fontId="0" fillId="2" borderId="0" xfId="0" applyFill="1" applyBorder="1" applyAlignment="1">
      <alignment vertical="center"/>
    </xf>
    <xf numFmtId="0" fontId="10" fillId="2" borderId="0" xfId="0" applyFont="1" applyFill="1" applyBorder="1" applyAlignment="1">
      <alignment vertical="center"/>
    </xf>
    <xf numFmtId="44" fontId="10" fillId="2" borderId="1" xfId="92" applyFont="1" applyFill="1" applyBorder="1" applyAlignment="1">
      <alignment vertical="center"/>
    </xf>
    <xf numFmtId="0" fontId="0" fillId="2" borderId="0" xfId="0" applyFill="1" applyAlignment="1">
      <alignment vertical="center"/>
    </xf>
    <xf numFmtId="0" fontId="0" fillId="3" borderId="36" xfId="0" applyFont="1" applyFill="1" applyBorder="1" applyAlignment="1" applyProtection="1">
      <alignment vertical="center"/>
      <protection locked="0"/>
    </xf>
    <xf numFmtId="0" fontId="0" fillId="3" borderId="14" xfId="0" applyFont="1" applyFill="1" applyBorder="1" applyAlignment="1" applyProtection="1">
      <alignment vertical="center"/>
      <protection locked="0"/>
    </xf>
    <xf numFmtId="44" fontId="0" fillId="3" borderId="24" xfId="92" applyNumberFormat="1" applyFont="1" applyFill="1" applyBorder="1" applyAlignment="1" applyProtection="1">
      <alignment vertical="center"/>
      <protection locked="0"/>
    </xf>
    <xf numFmtId="0" fontId="0" fillId="3" borderId="34" xfId="0" applyFont="1" applyFill="1" applyBorder="1" applyAlignment="1" applyProtection="1">
      <alignment vertical="center"/>
      <protection locked="0"/>
    </xf>
    <xf numFmtId="0" fontId="0" fillId="3" borderId="9" xfId="0" applyFont="1" applyFill="1" applyBorder="1" applyAlignment="1" applyProtection="1">
      <alignment vertical="center"/>
      <protection locked="0"/>
    </xf>
    <xf numFmtId="44" fontId="0" fillId="3" borderId="16" xfId="92" applyNumberFormat="1" applyFont="1" applyFill="1" applyBorder="1" applyAlignment="1" applyProtection="1">
      <alignment vertical="center"/>
      <protection locked="0"/>
    </xf>
    <xf numFmtId="0" fontId="18" fillId="3" borderId="9" xfId="0" applyFont="1" applyFill="1" applyBorder="1" applyAlignment="1" applyProtection="1">
      <alignment horizontal="left" vertical="center"/>
      <protection locked="0"/>
    </xf>
    <xf numFmtId="0" fontId="18" fillId="3" borderId="33" xfId="0" applyFont="1" applyFill="1" applyBorder="1" applyAlignment="1" applyProtection="1">
      <alignment horizontal="left" vertical="center"/>
      <protection locked="0"/>
    </xf>
    <xf numFmtId="44" fontId="18" fillId="3" borderId="24" xfId="92" applyNumberFormat="1" applyFont="1" applyFill="1" applyBorder="1" applyAlignment="1" applyProtection="1">
      <alignment vertical="center"/>
      <protection locked="0"/>
    </xf>
    <xf numFmtId="0" fontId="17" fillId="0" borderId="3" xfId="0" applyFont="1" applyBorder="1" applyAlignment="1" applyProtection="1">
      <alignment horizontal="centerContinuous" vertical="center"/>
    </xf>
    <xf numFmtId="0" fontId="17" fillId="0" borderId="3" xfId="0" applyFont="1" applyBorder="1" applyAlignment="1" applyProtection="1">
      <alignment vertical="center"/>
    </xf>
    <xf numFmtId="0" fontId="0" fillId="0" borderId="0" xfId="0" applyFont="1" applyBorder="1" applyAlignment="1" applyProtection="1">
      <alignment horizontal="centerContinuous"/>
    </xf>
    <xf numFmtId="0" fontId="0" fillId="0" borderId="0" xfId="0" applyFont="1" applyProtection="1"/>
    <xf numFmtId="0" fontId="17" fillId="0" borderId="2" xfId="0" applyFont="1" applyBorder="1" applyAlignment="1" applyProtection="1">
      <alignment horizontal="left"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left" vertical="center"/>
    </xf>
    <xf numFmtId="0" fontId="17" fillId="0" borderId="4"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5" xfId="0" applyFont="1" applyBorder="1" applyAlignment="1" applyProtection="1">
      <alignment horizontal="left" vertical="top"/>
    </xf>
    <xf numFmtId="0" fontId="17" fillId="0" borderId="0" xfId="0" applyFont="1" applyBorder="1" applyAlignment="1" applyProtection="1">
      <alignment horizontal="center" vertical="center"/>
    </xf>
    <xf numFmtId="0" fontId="17" fillId="0" borderId="30" xfId="0" applyFont="1" applyBorder="1" applyAlignment="1" applyProtection="1">
      <alignment horizontal="left" vertical="center"/>
    </xf>
    <xf numFmtId="0" fontId="17" fillId="0" borderId="0" xfId="0" applyFont="1" applyBorder="1" applyAlignment="1" applyProtection="1">
      <alignment horizontal="centerContinuous" vertical="center"/>
    </xf>
    <xf numFmtId="0" fontId="17" fillId="2" borderId="0" xfId="0" applyFont="1" applyFill="1" applyBorder="1" applyAlignment="1" applyProtection="1">
      <alignment horizontal="center" vertical="center"/>
    </xf>
    <xf numFmtId="0" fontId="14" fillId="2" borderId="37" xfId="0" applyFont="1" applyFill="1" applyBorder="1" applyAlignment="1" applyProtection="1">
      <alignment horizontal="centerContinuous" vertical="center"/>
    </xf>
    <xf numFmtId="0" fontId="14" fillId="2" borderId="25" xfId="0" applyFont="1" applyFill="1" applyBorder="1" applyAlignment="1" applyProtection="1">
      <alignment horizontal="centerContinuous" vertical="center"/>
    </xf>
    <xf numFmtId="0" fontId="14" fillId="2" borderId="25"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0" xfId="0" applyFont="1" applyFill="1" applyBorder="1" applyAlignment="1" applyProtection="1">
      <alignment horizontal="centerContinuous" vertical="center"/>
    </xf>
    <xf numFmtId="0" fontId="12" fillId="0" borderId="0" xfId="0" applyFont="1" applyProtection="1"/>
    <xf numFmtId="44" fontId="18" fillId="2" borderId="9" xfId="92" applyFont="1" applyFill="1" applyBorder="1" applyAlignment="1" applyProtection="1">
      <alignment horizontal="left" vertical="center"/>
    </xf>
    <xf numFmtId="44" fontId="18" fillId="2" borderId="10" xfId="92" applyFont="1" applyFill="1" applyBorder="1" applyAlignment="1" applyProtection="1">
      <alignment horizontal="left" vertical="center"/>
    </xf>
    <xf numFmtId="44" fontId="18" fillId="2" borderId="0" xfId="92" applyFont="1" applyFill="1" applyBorder="1" applyAlignment="1" applyProtection="1">
      <alignment horizontal="left" vertical="center"/>
    </xf>
    <xf numFmtId="0" fontId="0" fillId="2" borderId="6" xfId="0" applyFont="1" applyFill="1" applyBorder="1" applyProtection="1"/>
    <xf numFmtId="0" fontId="17" fillId="2" borderId="7"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44" fontId="18" fillId="2" borderId="11" xfId="92" applyFont="1" applyFill="1" applyBorder="1" applyAlignment="1" applyProtection="1">
      <alignment horizontal="left" vertical="center"/>
    </xf>
    <xf numFmtId="44" fontId="18" fillId="2" borderId="12" xfId="92" applyFont="1" applyFill="1" applyBorder="1" applyAlignment="1" applyProtection="1">
      <alignment horizontal="left" vertical="center"/>
    </xf>
    <xf numFmtId="44" fontId="18" fillId="2" borderId="0" xfId="0" applyNumberFormat="1" applyFont="1" applyFill="1" applyBorder="1" applyAlignment="1" applyProtection="1">
      <alignment horizontal="left" vertical="center"/>
    </xf>
    <xf numFmtId="0" fontId="17" fillId="2" borderId="28"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23" fillId="2" borderId="25" xfId="0" applyFont="1" applyFill="1" applyBorder="1" applyAlignment="1" applyProtection="1">
      <alignment vertical="center"/>
    </xf>
    <xf numFmtId="0" fontId="17" fillId="2" borderId="0" xfId="0" applyFont="1" applyFill="1" applyBorder="1" applyAlignment="1" applyProtection="1">
      <alignment horizontal="centerContinuous" vertical="center"/>
    </xf>
    <xf numFmtId="44" fontId="18" fillId="2" borderId="0" xfId="0" applyNumberFormat="1" applyFont="1" applyFill="1" applyBorder="1" applyAlignment="1" applyProtection="1">
      <alignment horizontal="centerContinuous" vertical="center"/>
    </xf>
    <xf numFmtId="0" fontId="0" fillId="0" borderId="5" xfId="0" applyFont="1" applyBorder="1" applyProtection="1"/>
    <xf numFmtId="44" fontId="18" fillId="0" borderId="0" xfId="0" applyNumberFormat="1" applyFont="1" applyFill="1" applyBorder="1" applyAlignment="1" applyProtection="1">
      <alignment horizontal="left" vertical="center"/>
    </xf>
    <xf numFmtId="0" fontId="0" fillId="0" borderId="0" xfId="0" applyFont="1" applyBorder="1" applyProtection="1"/>
    <xf numFmtId="0" fontId="17" fillId="0" borderId="2" xfId="0" applyFont="1" applyBorder="1" applyAlignment="1" applyProtection="1">
      <alignment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7" fillId="2" borderId="0" xfId="0" applyFont="1" applyFill="1" applyBorder="1" applyAlignment="1" applyProtection="1">
      <alignment vertical="center"/>
    </xf>
    <xf numFmtId="0" fontId="0" fillId="2" borderId="0" xfId="0" applyFont="1" applyFill="1" applyBorder="1" applyProtection="1"/>
    <xf numFmtId="0" fontId="24" fillId="2" borderId="5" xfId="0" applyFont="1" applyFill="1" applyBorder="1" applyProtection="1"/>
    <xf numFmtId="0" fontId="24" fillId="2" borderId="0" xfId="0" applyFont="1" applyFill="1" applyBorder="1" applyProtection="1"/>
    <xf numFmtId="0" fontId="18" fillId="0" borderId="0" xfId="0" applyFont="1" applyFill="1" applyBorder="1" applyProtection="1"/>
    <xf numFmtId="0" fontId="18" fillId="2" borderId="0" xfId="0" applyFont="1" applyFill="1" applyBorder="1" applyProtection="1"/>
    <xf numFmtId="0" fontId="18" fillId="2" borderId="8" xfId="0" applyFont="1" applyFill="1" applyBorder="1" applyAlignment="1" applyProtection="1">
      <alignment horizontal="left" vertical="center"/>
    </xf>
    <xf numFmtId="0" fontId="18" fillId="2" borderId="8" xfId="0" applyFont="1" applyFill="1" applyBorder="1" applyAlignment="1" applyProtection="1">
      <alignment vertical="center"/>
    </xf>
    <xf numFmtId="0" fontId="18" fillId="2" borderId="9" xfId="0" applyFont="1" applyFill="1" applyBorder="1" applyProtection="1"/>
    <xf numFmtId="0" fontId="17" fillId="0" borderId="0" xfId="0" applyFont="1" applyBorder="1" applyAlignment="1" applyProtection="1">
      <alignment vertical="center" wrapText="1"/>
    </xf>
    <xf numFmtId="0" fontId="17" fillId="0" borderId="0" xfId="0" applyFont="1" applyBorder="1" applyAlignment="1" applyProtection="1">
      <alignment horizontal="left" vertical="center" wrapText="1"/>
    </xf>
    <xf numFmtId="9" fontId="18" fillId="2" borderId="0" xfId="94" applyFont="1" applyFill="1" applyBorder="1" applyProtection="1"/>
    <xf numFmtId="0" fontId="18" fillId="2" borderId="13" xfId="0" applyFont="1" applyFill="1" applyBorder="1" applyAlignment="1" applyProtection="1">
      <alignment vertical="center"/>
    </xf>
    <xf numFmtId="9" fontId="18" fillId="2" borderId="14" xfId="94" applyFont="1" applyFill="1" applyBorder="1" applyProtection="1"/>
    <xf numFmtId="9" fontId="18" fillId="0" borderId="0" xfId="94" applyFont="1" applyFill="1" applyBorder="1" applyProtection="1"/>
    <xf numFmtId="9" fontId="17" fillId="2" borderId="0" xfId="94" applyFont="1" applyFill="1" applyBorder="1" applyAlignment="1" applyProtection="1">
      <alignment wrapText="1"/>
    </xf>
    <xf numFmtId="44" fontId="12" fillId="2" borderId="0" xfId="92" applyNumberFormat="1" applyFont="1" applyFill="1" applyBorder="1" applyProtection="1"/>
    <xf numFmtId="44" fontId="0" fillId="2" borderId="0" xfId="0" applyNumberFormat="1" applyFont="1" applyFill="1" applyBorder="1" applyProtection="1"/>
    <xf numFmtId="44" fontId="12" fillId="2" borderId="9" xfId="92" applyNumberFormat="1" applyFont="1" applyFill="1" applyBorder="1" applyProtection="1"/>
    <xf numFmtId="44" fontId="0" fillId="0" borderId="0" xfId="0" applyNumberFormat="1" applyFont="1" applyFill="1" applyBorder="1" applyProtection="1"/>
    <xf numFmtId="44" fontId="0" fillId="0" borderId="0" xfId="0" applyNumberFormat="1" applyFont="1" applyBorder="1" applyProtection="1"/>
    <xf numFmtId="44" fontId="18" fillId="2" borderId="0" xfId="0" applyNumberFormat="1" applyFont="1" applyFill="1" applyBorder="1" applyAlignment="1" applyProtection="1">
      <alignment vertical="center"/>
    </xf>
    <xf numFmtId="44" fontId="18" fillId="0" borderId="0" xfId="0" applyNumberFormat="1" applyFont="1" applyFill="1" applyBorder="1" applyAlignment="1" applyProtection="1">
      <alignment vertical="center"/>
    </xf>
    <xf numFmtId="0" fontId="17"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0" xfId="0" applyFont="1" applyFill="1" applyBorder="1" applyAlignment="1" applyProtection="1">
      <alignment horizontal="center" vertical="center"/>
    </xf>
    <xf numFmtId="0" fontId="0" fillId="0" borderId="0" xfId="0" applyFont="1" applyFill="1" applyBorder="1" applyProtection="1"/>
    <xf numFmtId="0" fontId="7" fillId="0" borderId="5" xfId="0" applyFont="1" applyBorder="1" applyAlignment="1" applyProtection="1">
      <alignment vertical="top"/>
    </xf>
    <xf numFmtId="0" fontId="0" fillId="0" borderId="30" xfId="0" applyFont="1" applyBorder="1" applyProtection="1"/>
    <xf numFmtId="0" fontId="17" fillId="2" borderId="39" xfId="0" applyFont="1" applyFill="1" applyBorder="1" applyAlignment="1" applyProtection="1">
      <alignment horizontal="center" vertical="center"/>
    </xf>
    <xf numFmtId="0" fontId="17" fillId="2" borderId="43" xfId="0" applyFont="1" applyFill="1" applyBorder="1" applyAlignment="1" applyProtection="1">
      <alignment horizontal="left" vertical="center"/>
    </xf>
    <xf numFmtId="0" fontId="17" fillId="0" borderId="30" xfId="0" applyFont="1" applyBorder="1" applyAlignment="1" applyProtection="1">
      <alignment horizontal="center" vertical="center"/>
    </xf>
    <xf numFmtId="0" fontId="17" fillId="2" borderId="8" xfId="0" applyFont="1" applyFill="1" applyBorder="1" applyAlignment="1" applyProtection="1">
      <alignment vertical="center"/>
    </xf>
    <xf numFmtId="0" fontId="14" fillId="2" borderId="9" xfId="0" applyFont="1" applyFill="1" applyBorder="1" applyAlignment="1" applyProtection="1">
      <alignment horizontal="center"/>
    </xf>
    <xf numFmtId="0" fontId="17" fillId="2" borderId="10" xfId="0" applyFont="1" applyFill="1" applyBorder="1" applyAlignment="1" applyProtection="1">
      <alignment horizontal="center" vertical="center"/>
    </xf>
    <xf numFmtId="0" fontId="17" fillId="2" borderId="0" xfId="0" applyFont="1" applyFill="1" applyBorder="1" applyAlignment="1" applyProtection="1">
      <alignment vertical="center" wrapText="1"/>
    </xf>
    <xf numFmtId="0" fontId="17" fillId="2" borderId="0" xfId="0" applyFont="1" applyFill="1" applyBorder="1" applyAlignment="1" applyProtection="1">
      <alignment horizontal="left" vertical="center" wrapText="1"/>
    </xf>
    <xf numFmtId="0" fontId="17" fillId="2" borderId="5" xfId="0" applyFont="1" applyFill="1" applyBorder="1" applyAlignment="1" applyProtection="1">
      <alignment horizontal="left" vertical="center"/>
    </xf>
    <xf numFmtId="0" fontId="17" fillId="0" borderId="30" xfId="0" applyFont="1" applyBorder="1" applyAlignment="1" applyProtection="1">
      <alignment horizontal="left" vertical="center" wrapText="1"/>
    </xf>
    <xf numFmtId="0" fontId="23" fillId="2" borderId="21" xfId="0" applyFont="1" applyFill="1" applyBorder="1" applyAlignment="1" applyProtection="1">
      <alignment horizontal="left" vertical="center"/>
    </xf>
    <xf numFmtId="0" fontId="0" fillId="2" borderId="0" xfId="0" applyFont="1" applyFill="1" applyBorder="1" applyAlignment="1" applyProtection="1">
      <alignment horizontal="center"/>
    </xf>
    <xf numFmtId="0" fontId="17" fillId="2" borderId="0" xfId="0" applyFont="1" applyFill="1" applyBorder="1" applyAlignment="1" applyProtection="1">
      <alignment horizontal="left" vertical="center"/>
    </xf>
    <xf numFmtId="44" fontId="18" fillId="2" borderId="0" xfId="0" applyNumberFormat="1" applyFont="1" applyFill="1" applyBorder="1" applyAlignment="1" applyProtection="1">
      <alignment horizontal="center" vertical="center"/>
    </xf>
    <xf numFmtId="0" fontId="18" fillId="2" borderId="0" xfId="0" applyFont="1" applyFill="1" applyBorder="1" applyAlignment="1" applyProtection="1">
      <alignment vertical="center"/>
    </xf>
    <xf numFmtId="0" fontId="18" fillId="3" borderId="24" xfId="0" applyFont="1" applyFill="1" applyBorder="1" applyAlignment="1" applyProtection="1">
      <alignment vertical="center" wrapText="1"/>
      <protection locked="0"/>
    </xf>
    <xf numFmtId="0" fontId="17" fillId="2" borderId="33" xfId="0" applyFont="1" applyFill="1" applyBorder="1" applyAlignment="1">
      <alignment horizontal="left" vertical="center"/>
    </xf>
    <xf numFmtId="0" fontId="14" fillId="2" borderId="0" xfId="0" applyFont="1" applyFill="1" applyBorder="1" applyAlignment="1">
      <alignment horizontal="center"/>
    </xf>
    <xf numFmtId="0" fontId="14" fillId="2" borderId="39" xfId="0" applyFont="1" applyFill="1" applyBorder="1" applyAlignment="1">
      <alignment horizontal="center"/>
    </xf>
    <xf numFmtId="0" fontId="10" fillId="2" borderId="15"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0" borderId="0" xfId="0" applyFont="1" applyBorder="1" applyAlignment="1">
      <alignment horizontal="centerContinuous"/>
    </xf>
    <xf numFmtId="44" fontId="0" fillId="3" borderId="47" xfId="92" applyFont="1" applyFill="1" applyBorder="1" applyAlignment="1" applyProtection="1">
      <alignment vertical="center"/>
      <protection locked="0"/>
    </xf>
    <xf numFmtId="0" fontId="0" fillId="3" borderId="48" xfId="0" applyFont="1" applyFill="1" applyBorder="1" applyAlignment="1" applyProtection="1">
      <alignment horizontal="center" vertical="center" wrapText="1"/>
      <protection locked="0"/>
    </xf>
    <xf numFmtId="44" fontId="0" fillId="2" borderId="47" xfId="92" applyFont="1" applyFill="1" applyBorder="1" applyAlignment="1">
      <alignment vertical="center"/>
    </xf>
    <xf numFmtId="44" fontId="0" fillId="2" borderId="51" xfId="0" applyNumberFormat="1" applyFont="1" applyFill="1" applyBorder="1" applyAlignment="1" applyProtection="1">
      <alignment vertical="center"/>
    </xf>
    <xf numFmtId="0" fontId="0" fillId="2" borderId="52" xfId="0" applyFont="1" applyFill="1" applyBorder="1" applyAlignment="1" applyProtection="1">
      <alignment horizontal="center" vertical="center" wrapText="1"/>
    </xf>
    <xf numFmtId="0" fontId="10" fillId="2" borderId="46" xfId="0" applyFont="1" applyFill="1" applyBorder="1" applyAlignment="1">
      <alignment horizontal="center" vertical="center" wrapText="1"/>
    </xf>
    <xf numFmtId="44" fontId="0" fillId="3" borderId="49" xfId="92" applyFont="1" applyFill="1" applyBorder="1" applyAlignment="1" applyProtection="1">
      <alignment vertical="center"/>
      <protection locked="0"/>
    </xf>
    <xf numFmtId="44" fontId="0" fillId="2" borderId="49" xfId="92" applyFont="1" applyFill="1" applyBorder="1" applyAlignment="1">
      <alignment vertical="center"/>
    </xf>
    <xf numFmtId="49" fontId="13" fillId="2" borderId="53" xfId="0" applyNumberFormat="1" applyFont="1" applyFill="1" applyBorder="1" applyAlignment="1">
      <alignment horizontal="center" vertical="center" wrapText="1"/>
    </xf>
    <xf numFmtId="49" fontId="13" fillId="2" borderId="54" xfId="0" applyNumberFormat="1" applyFont="1" applyFill="1" applyBorder="1" applyAlignment="1">
      <alignment horizontal="centerContinuous" vertical="center" wrapText="1"/>
    </xf>
    <xf numFmtId="49" fontId="13" fillId="2" borderId="55" xfId="0" applyNumberFormat="1" applyFont="1" applyFill="1" applyBorder="1" applyAlignment="1">
      <alignment horizontal="centerContinuous" vertical="center" wrapText="1"/>
    </xf>
    <xf numFmtId="49" fontId="13" fillId="2" borderId="54" xfId="0" applyNumberFormat="1" applyFont="1" applyFill="1" applyBorder="1" applyAlignment="1">
      <alignment horizontal="center" vertical="center" wrapText="1"/>
    </xf>
    <xf numFmtId="49" fontId="13" fillId="2" borderId="55" xfId="0" applyNumberFormat="1" applyFont="1" applyFill="1" applyBorder="1" applyAlignment="1">
      <alignment horizontal="center" vertical="center" wrapText="1"/>
    </xf>
    <xf numFmtId="0" fontId="17" fillId="0" borderId="30" xfId="0" applyFont="1" applyBorder="1" applyAlignment="1" applyProtection="1">
      <alignment horizontal="centerContinuous" vertical="center"/>
    </xf>
    <xf numFmtId="0" fontId="12" fillId="2" borderId="31" xfId="0" applyFont="1" applyFill="1" applyBorder="1" applyAlignment="1" applyProtection="1">
      <alignment horizontal="center"/>
    </xf>
    <xf numFmtId="0" fontId="17" fillId="0" borderId="4" xfId="0" applyFont="1" applyBorder="1" applyAlignment="1" applyProtection="1">
      <alignment horizontal="centerContinuous" vertical="center"/>
    </xf>
    <xf numFmtId="0" fontId="17" fillId="0" borderId="5" xfId="0" applyFont="1" applyBorder="1" applyAlignment="1" applyProtection="1">
      <alignment horizontal="left" vertical="center"/>
    </xf>
    <xf numFmtId="0" fontId="17" fillId="0" borderId="5" xfId="0" applyFont="1" applyBorder="1" applyAlignment="1" applyProtection="1">
      <alignment horizontal="centerContinuous" vertical="center"/>
    </xf>
    <xf numFmtId="0" fontId="14" fillId="2" borderId="5" xfId="0" applyFont="1" applyFill="1" applyBorder="1" applyAlignment="1" applyProtection="1">
      <alignment horizontal="centerContinuous" vertical="center"/>
    </xf>
    <xf numFmtId="44" fontId="18" fillId="2" borderId="5" xfId="92" applyFont="1" applyFill="1" applyBorder="1" applyAlignment="1" applyProtection="1">
      <alignment horizontal="left" vertical="center"/>
    </xf>
    <xf numFmtId="0" fontId="17" fillId="2" borderId="5" xfId="0" applyFont="1" applyFill="1" applyBorder="1" applyAlignment="1" applyProtection="1">
      <alignment horizontal="centerContinuous" vertical="center"/>
    </xf>
    <xf numFmtId="44" fontId="18" fillId="0" borderId="5" xfId="0" applyNumberFormat="1" applyFont="1" applyFill="1" applyBorder="1" applyAlignment="1" applyProtection="1">
      <alignment horizontal="left" vertical="center"/>
    </xf>
    <xf numFmtId="0" fontId="17" fillId="0" borderId="5" xfId="0" applyFont="1" applyBorder="1" applyAlignment="1" applyProtection="1">
      <alignment vertical="center"/>
    </xf>
    <xf numFmtId="0" fontId="17" fillId="0" borderId="5" xfId="0" applyFont="1" applyBorder="1" applyAlignment="1" applyProtection="1">
      <alignment horizontal="left" indent="40"/>
    </xf>
    <xf numFmtId="0" fontId="17" fillId="0" borderId="2" xfId="0" applyFont="1" applyBorder="1" applyAlignment="1" applyProtection="1">
      <alignment horizontal="left" indent="40"/>
    </xf>
    <xf numFmtId="0" fontId="0" fillId="2" borderId="34" xfId="0" applyFont="1" applyFill="1" applyBorder="1" applyProtection="1"/>
    <xf numFmtId="0" fontId="17" fillId="2" borderId="15" xfId="0" applyFont="1" applyFill="1" applyBorder="1" applyAlignment="1" applyProtection="1">
      <alignment horizontal="center" vertical="center"/>
    </xf>
    <xf numFmtId="0" fontId="17" fillId="2" borderId="22" xfId="0" applyFont="1" applyFill="1" applyBorder="1" applyAlignment="1" applyProtection="1">
      <alignment horizontal="left" vertical="center"/>
    </xf>
    <xf numFmtId="0" fontId="17" fillId="0" borderId="5" xfId="0" applyFont="1" applyBorder="1" applyAlignment="1" applyProtection="1">
      <alignment vertical="top"/>
    </xf>
    <xf numFmtId="0" fontId="17" fillId="2" borderId="5" xfId="0" applyFont="1" applyFill="1" applyBorder="1" applyAlignment="1" applyProtection="1">
      <alignment horizontal="center" vertical="center"/>
    </xf>
    <xf numFmtId="0" fontId="14" fillId="2" borderId="44" xfId="0" applyFont="1" applyFill="1" applyBorder="1" applyAlignment="1" applyProtection="1">
      <alignment horizontal="center"/>
    </xf>
    <xf numFmtId="0" fontId="18" fillId="3" borderId="36" xfId="0" applyFont="1" applyFill="1" applyBorder="1" applyAlignment="1" applyProtection="1">
      <alignment horizontal="left" vertical="center"/>
      <protection locked="0"/>
    </xf>
    <xf numFmtId="44" fontId="18" fillId="3" borderId="56" xfId="92" applyNumberFormat="1" applyFont="1" applyFill="1" applyBorder="1" applyAlignment="1" applyProtection="1">
      <alignment vertical="center"/>
      <protection locked="0"/>
    </xf>
    <xf numFmtId="0" fontId="17" fillId="2" borderId="36" xfId="0" applyFont="1" applyFill="1" applyBorder="1" applyAlignment="1" applyProtection="1">
      <alignment horizontal="left" vertical="center"/>
    </xf>
    <xf numFmtId="0" fontId="17" fillId="2" borderId="57" xfId="0" applyFont="1" applyFill="1" applyBorder="1" applyAlignment="1" applyProtection="1">
      <alignment horizontal="left" vertical="center"/>
    </xf>
    <xf numFmtId="0" fontId="17" fillId="2" borderId="58" xfId="0" applyFont="1" applyFill="1" applyBorder="1" applyAlignment="1" applyProtection="1">
      <alignment horizontal="left" vertical="center"/>
    </xf>
    <xf numFmtId="0" fontId="14" fillId="2" borderId="10" xfId="0" applyFont="1" applyFill="1" applyBorder="1" applyAlignment="1" applyProtection="1">
      <alignment horizontal="center"/>
    </xf>
    <xf numFmtId="44" fontId="18" fillId="3" borderId="10" xfId="92" applyFont="1" applyFill="1" applyBorder="1" applyAlignment="1" applyProtection="1">
      <alignment vertical="center"/>
      <protection locked="0"/>
    </xf>
    <xf numFmtId="0" fontId="17" fillId="0" borderId="2" xfId="0" applyFont="1" applyBorder="1" applyAlignment="1" applyProtection="1">
      <alignment vertical="top"/>
    </xf>
    <xf numFmtId="0" fontId="14" fillId="2" borderId="5" xfId="0" applyFont="1" applyFill="1" applyBorder="1" applyAlignment="1">
      <alignment horizontal="center"/>
    </xf>
    <xf numFmtId="0" fontId="14" fillId="2" borderId="44" xfId="0" applyFont="1" applyFill="1" applyBorder="1" applyAlignment="1">
      <alignment horizontal="center"/>
    </xf>
    <xf numFmtId="0" fontId="17" fillId="2" borderId="36" xfId="0" applyFont="1" applyFill="1" applyBorder="1" applyAlignment="1">
      <alignment horizontal="left" vertical="center"/>
    </xf>
    <xf numFmtId="0" fontId="17" fillId="0" borderId="5" xfId="0" applyFont="1" applyBorder="1" applyAlignment="1" applyProtection="1">
      <alignment horizontal="left" vertical="center" wrapText="1"/>
    </xf>
    <xf numFmtId="0" fontId="14" fillId="0" borderId="40" xfId="0" applyFont="1" applyFill="1" applyBorder="1" applyAlignment="1" applyProtection="1">
      <alignment vertical="center"/>
    </xf>
    <xf numFmtId="0" fontId="20" fillId="0" borderId="59" xfId="0" applyFont="1" applyFill="1" applyBorder="1" applyAlignment="1" applyProtection="1">
      <alignment horizontal="centerContinuous" vertical="center" wrapText="1"/>
    </xf>
    <xf numFmtId="0" fontId="23" fillId="2" borderId="45" xfId="0" applyFont="1" applyFill="1" applyBorder="1" applyAlignment="1" applyProtection="1">
      <alignment horizontal="left" vertical="center"/>
    </xf>
    <xf numFmtId="0" fontId="14" fillId="2" borderId="38" xfId="0" applyFont="1" applyFill="1" applyBorder="1" applyAlignment="1" applyProtection="1">
      <alignment horizontal="center"/>
    </xf>
    <xf numFmtId="0" fontId="7" fillId="0" borderId="0" xfId="0" applyFont="1" applyBorder="1" applyAlignment="1" applyProtection="1">
      <alignment horizontal="centerContinuous"/>
    </xf>
    <xf numFmtId="0" fontId="14" fillId="2" borderId="5" xfId="0" applyFont="1" applyFill="1" applyBorder="1" applyAlignment="1" applyProtection="1">
      <alignment horizontal="center"/>
    </xf>
    <xf numFmtId="0" fontId="14" fillId="0" borderId="40" xfId="0" applyFont="1" applyFill="1" applyBorder="1" applyAlignment="1" applyProtection="1">
      <alignment horizontal="left" vertical="center"/>
    </xf>
    <xf numFmtId="0" fontId="14" fillId="2" borderId="23" xfId="0" applyFont="1" applyFill="1" applyBorder="1" applyAlignment="1" applyProtection="1">
      <alignment horizontal="center"/>
    </xf>
    <xf numFmtId="0" fontId="24" fillId="2" borderId="21" xfId="0" applyFont="1" applyFill="1" applyBorder="1" applyAlignment="1" applyProtection="1">
      <alignment horizontal="left" vertical="center"/>
    </xf>
    <xf numFmtId="9" fontId="14" fillId="2" borderId="19" xfId="94" applyFont="1" applyFill="1" applyBorder="1" applyAlignment="1" applyProtection="1">
      <alignment wrapText="1"/>
    </xf>
    <xf numFmtId="9" fontId="14" fillId="2" borderId="23" xfId="94" applyFont="1" applyFill="1" applyBorder="1" applyAlignment="1" applyProtection="1">
      <alignment wrapText="1"/>
    </xf>
    <xf numFmtId="0" fontId="0" fillId="2" borderId="22" xfId="0" applyFont="1" applyFill="1" applyBorder="1" applyProtection="1"/>
    <xf numFmtId="0" fontId="12" fillId="2" borderId="9" xfId="0" applyFont="1" applyFill="1" applyBorder="1" applyAlignment="1" applyProtection="1">
      <alignment horizontal="center"/>
    </xf>
    <xf numFmtId="0" fontId="12" fillId="2" borderId="38" xfId="0" applyFont="1" applyFill="1" applyBorder="1" applyAlignment="1" applyProtection="1">
      <alignment horizontal="center"/>
    </xf>
    <xf numFmtId="0" fontId="18" fillId="3" borderId="34" xfId="0" applyFont="1" applyFill="1" applyBorder="1" applyAlignment="1" applyProtection="1">
      <alignment vertical="center" wrapText="1"/>
      <protection locked="0"/>
    </xf>
    <xf numFmtId="0" fontId="0" fillId="0" borderId="57" xfId="0" applyFont="1" applyBorder="1" applyProtection="1"/>
    <xf numFmtId="0" fontId="17" fillId="0" borderId="60" xfId="0" applyFont="1" applyBorder="1" applyAlignment="1" applyProtection="1">
      <alignment horizontal="center" vertical="center"/>
    </xf>
    <xf numFmtId="0" fontId="17" fillId="0" borderId="60" xfId="0" applyFont="1" applyBorder="1" applyAlignment="1" applyProtection="1">
      <alignment horizontal="left" vertical="center"/>
    </xf>
    <xf numFmtId="44" fontId="18" fillId="0" borderId="60" xfId="0" applyNumberFormat="1" applyFont="1" applyFill="1" applyBorder="1" applyAlignment="1" applyProtection="1">
      <alignment horizontal="left" vertical="center"/>
    </xf>
    <xf numFmtId="0" fontId="18" fillId="0" borderId="5" xfId="0" applyFont="1" applyFill="1" applyBorder="1" applyProtection="1"/>
    <xf numFmtId="0" fontId="18" fillId="2" borderId="5" xfId="0" applyFont="1" applyFill="1" applyBorder="1" applyProtection="1"/>
    <xf numFmtId="9" fontId="18" fillId="0" borderId="5" xfId="94" applyFont="1" applyFill="1" applyBorder="1" applyProtection="1"/>
    <xf numFmtId="0" fontId="7" fillId="0" borderId="0" xfId="0" applyFont="1" applyBorder="1" applyProtection="1"/>
    <xf numFmtId="0" fontId="10" fillId="2" borderId="50" xfId="0" applyFont="1" applyFill="1" applyBorder="1" applyAlignment="1">
      <alignment horizontal="center" vertical="center" wrapText="1"/>
    </xf>
    <xf numFmtId="0" fontId="10" fillId="2" borderId="52" xfId="0" applyFont="1" applyFill="1" applyBorder="1" applyAlignment="1">
      <alignment horizontal="center" vertical="center" wrapText="1"/>
    </xf>
    <xf numFmtId="49" fontId="13" fillId="2" borderId="61" xfId="0" applyNumberFormat="1" applyFont="1" applyFill="1" applyBorder="1" applyAlignment="1">
      <alignment horizontal="center" vertical="center" wrapText="1"/>
    </xf>
    <xf numFmtId="49" fontId="13" fillId="2" borderId="62" xfId="0" applyNumberFormat="1" applyFont="1" applyFill="1" applyBorder="1" applyAlignment="1">
      <alignment horizontal="center" vertical="center" wrapText="1"/>
    </xf>
    <xf numFmtId="0" fontId="12" fillId="2" borderId="22" xfId="0" applyFont="1" applyFill="1" applyBorder="1" applyAlignment="1">
      <alignment wrapText="1"/>
    </xf>
    <xf numFmtId="0" fontId="0" fillId="2" borderId="0" xfId="0" applyFill="1" applyAlignment="1">
      <alignment wrapText="1"/>
    </xf>
    <xf numFmtId="0" fontId="10" fillId="0" borderId="2" xfId="0" applyFont="1" applyBorder="1" applyAlignment="1">
      <alignment vertical="center"/>
    </xf>
    <xf numFmtId="0" fontId="17" fillId="0" borderId="18" xfId="0" applyFont="1" applyBorder="1" applyAlignment="1" applyProtection="1">
      <alignment horizontal="centerContinuous" vertical="center"/>
    </xf>
    <xf numFmtId="0" fontId="0" fillId="0" borderId="64" xfId="0" applyFont="1" applyBorder="1" applyAlignment="1" applyProtection="1">
      <alignment horizontal="centerContinuous"/>
    </xf>
    <xf numFmtId="0" fontId="10" fillId="2" borderId="0" xfId="0" applyFont="1" applyFill="1" applyBorder="1" applyAlignment="1">
      <alignment horizontal="right" vertical="center"/>
    </xf>
    <xf numFmtId="0" fontId="7" fillId="2" borderId="0" xfId="0" applyFont="1" applyFill="1" applyBorder="1" applyAlignment="1">
      <alignment horizontal="right" vertical="center"/>
    </xf>
    <xf numFmtId="0" fontId="7" fillId="0" borderId="11" xfId="0" applyFont="1" applyBorder="1" applyAlignment="1">
      <alignment vertical="center"/>
    </xf>
    <xf numFmtId="0" fontId="17" fillId="0" borderId="64" xfId="0" applyFont="1" applyBorder="1" applyAlignment="1" applyProtection="1">
      <alignment horizontal="centerContinuous" vertical="center"/>
    </xf>
    <xf numFmtId="44" fontId="7" fillId="0" borderId="0" xfId="0" applyNumberFormat="1" applyFont="1" applyFill="1" applyBorder="1" applyProtection="1"/>
    <xf numFmtId="0" fontId="0" fillId="3" borderId="11" xfId="0" applyFont="1" applyFill="1" applyBorder="1" applyAlignment="1" applyProtection="1">
      <alignment vertical="center"/>
      <protection locked="0"/>
    </xf>
    <xf numFmtId="0" fontId="0" fillId="3" borderId="11" xfId="0" applyNumberFormat="1" applyFont="1" applyFill="1" applyBorder="1" applyAlignment="1" applyProtection="1">
      <alignment vertical="center"/>
      <protection locked="0"/>
    </xf>
    <xf numFmtId="0" fontId="26" fillId="0" borderId="0" xfId="0" applyFont="1" applyAlignment="1" applyProtection="1">
      <alignment wrapText="1"/>
    </xf>
    <xf numFmtId="0" fontId="0" fillId="0" borderId="0" xfId="0" applyProtection="1"/>
    <xf numFmtId="0" fontId="22" fillId="0" borderId="0" xfId="0" applyFont="1" applyAlignment="1" applyProtection="1">
      <alignment vertical="top"/>
    </xf>
    <xf numFmtId="0" fontId="6" fillId="0" borderId="0" xfId="0" applyFont="1" applyProtection="1"/>
    <xf numFmtId="0" fontId="16" fillId="0" borderId="0" xfId="0" applyFont="1" applyProtection="1"/>
    <xf numFmtId="0" fontId="7" fillId="0" borderId="0" xfId="0" applyFont="1" applyAlignment="1" applyProtection="1">
      <alignment horizontal="centerContinuous"/>
    </xf>
    <xf numFmtId="0" fontId="0" fillId="0" borderId="0" xfId="0" applyAlignment="1" applyProtection="1">
      <alignment horizontal="centerContinuous"/>
    </xf>
    <xf numFmtId="0" fontId="0" fillId="0" borderId="0" xfId="0" applyFont="1" applyAlignment="1" applyProtection="1">
      <alignment horizontal="centerContinuous"/>
    </xf>
    <xf numFmtId="0" fontId="12" fillId="2" borderId="21" xfId="0" applyFont="1" applyFill="1" applyBorder="1" applyProtection="1"/>
    <xf numFmtId="0" fontId="14" fillId="2" borderId="19" xfId="0" applyFont="1" applyFill="1" applyBorder="1" applyAlignment="1" applyProtection="1">
      <alignment horizontal="center" wrapText="1"/>
    </xf>
    <xf numFmtId="0" fontId="14" fillId="2" borderId="23" xfId="0" applyFont="1" applyFill="1" applyBorder="1" applyProtection="1"/>
    <xf numFmtId="0" fontId="12" fillId="2" borderId="19" xfId="0" applyFont="1" applyFill="1" applyBorder="1" applyAlignment="1" applyProtection="1">
      <alignment horizontal="center" wrapText="1"/>
    </xf>
    <xf numFmtId="0" fontId="12" fillId="2" borderId="23" xfId="0" applyFont="1" applyFill="1" applyBorder="1" applyProtection="1"/>
    <xf numFmtId="0" fontId="14" fillId="2" borderId="0" xfId="0" applyFont="1" applyFill="1" applyBorder="1" applyProtection="1"/>
    <xf numFmtId="0" fontId="14" fillId="2" borderId="39" xfId="0" applyFont="1" applyFill="1" applyBorder="1" applyAlignment="1" applyProtection="1">
      <alignment horizontal="center" wrapText="1"/>
    </xf>
    <xf numFmtId="0" fontId="14" fillId="2" borderId="39" xfId="0" applyFont="1" applyFill="1" applyBorder="1" applyProtection="1"/>
    <xf numFmtId="0" fontId="12" fillId="2" borderId="22" xfId="0" applyFont="1" applyFill="1" applyBorder="1" applyProtection="1"/>
    <xf numFmtId="44" fontId="12" fillId="2" borderId="9" xfId="92" applyFont="1" applyFill="1" applyBorder="1" applyAlignment="1" applyProtection="1">
      <alignment horizontal="right"/>
    </xf>
    <xf numFmtId="0" fontId="12" fillId="2" borderId="16" xfId="0" applyNumberFormat="1" applyFont="1" applyFill="1" applyBorder="1" applyProtection="1"/>
    <xf numFmtId="0" fontId="12" fillId="2" borderId="33" xfId="0" applyFont="1" applyFill="1" applyBorder="1" applyProtection="1"/>
    <xf numFmtId="0" fontId="12" fillId="2" borderId="24" xfId="0" applyNumberFormat="1" applyFont="1" applyFill="1" applyBorder="1" applyProtection="1"/>
    <xf numFmtId="0" fontId="12" fillId="2" borderId="16" xfId="0" applyFont="1" applyFill="1" applyBorder="1" applyProtection="1"/>
    <xf numFmtId="0" fontId="12" fillId="2" borderId="24" xfId="0" applyFont="1" applyFill="1" applyBorder="1" applyProtection="1"/>
    <xf numFmtId="44" fontId="12" fillId="2" borderId="9" xfId="0" applyNumberFormat="1" applyFont="1" applyFill="1" applyBorder="1" applyProtection="1"/>
    <xf numFmtId="0" fontId="0" fillId="2" borderId="9" xfId="0" applyFont="1" applyFill="1" applyBorder="1" applyAlignment="1" applyProtection="1">
      <alignment horizontal="center" vertical="center"/>
    </xf>
    <xf numFmtId="0" fontId="16" fillId="2" borderId="0" xfId="0" applyFont="1" applyFill="1" applyBorder="1" applyProtection="1"/>
    <xf numFmtId="0" fontId="16" fillId="2" borderId="0" xfId="0" applyFont="1" applyFill="1" applyProtection="1"/>
    <xf numFmtId="0" fontId="12" fillId="2" borderId="20" xfId="0" applyFont="1" applyFill="1" applyBorder="1" applyProtection="1"/>
    <xf numFmtId="44" fontId="12" fillId="2" borderId="14" xfId="92" applyFont="1" applyFill="1" applyBorder="1" applyAlignment="1" applyProtection="1">
      <alignment horizontal="right"/>
    </xf>
    <xf numFmtId="0" fontId="16" fillId="2" borderId="0" xfId="0" applyFont="1" applyFill="1" applyAlignment="1" applyProtection="1">
      <alignment wrapText="1"/>
    </xf>
    <xf numFmtId="0" fontId="7" fillId="0" borderId="2" xfId="0" applyFont="1" applyBorder="1" applyAlignment="1" applyProtection="1">
      <alignment vertical="center"/>
    </xf>
    <xf numFmtId="0" fontId="10" fillId="0" borderId="3" xfId="0" applyFont="1" applyBorder="1" applyAlignment="1" applyProtection="1">
      <alignment vertical="center"/>
    </xf>
    <xf numFmtId="0" fontId="10" fillId="0" borderId="4" xfId="0" applyFont="1" applyBorder="1" applyAlignment="1" applyProtection="1">
      <alignment vertical="center"/>
    </xf>
    <xf numFmtId="0" fontId="16" fillId="0" borderId="0" xfId="0" applyFont="1" applyBorder="1" applyAlignment="1" applyProtection="1">
      <alignment vertical="center"/>
    </xf>
    <xf numFmtId="0" fontId="16" fillId="0" borderId="5" xfId="0" applyFont="1" applyBorder="1" applyAlignment="1" applyProtection="1"/>
    <xf numFmtId="0" fontId="6" fillId="0" borderId="0" xfId="0" applyFont="1" applyFill="1" applyBorder="1" applyAlignment="1" applyProtection="1">
      <alignment horizontal="left"/>
    </xf>
    <xf numFmtId="0" fontId="6" fillId="0" borderId="30" xfId="0" applyFont="1" applyFill="1" applyBorder="1" applyAlignment="1" applyProtection="1">
      <alignment horizontal="left"/>
    </xf>
    <xf numFmtId="0" fontId="16" fillId="0" borderId="5" xfId="0" applyFont="1" applyBorder="1" applyAlignment="1" applyProtection="1">
      <alignment vertical="top"/>
    </xf>
    <xf numFmtId="43" fontId="21" fillId="2" borderId="21" xfId="93" applyFont="1" applyFill="1" applyBorder="1" applyAlignment="1" applyProtection="1">
      <alignment horizontal="left"/>
    </xf>
    <xf numFmtId="44" fontId="21" fillId="2" borderId="23" xfId="92" applyFont="1" applyFill="1" applyBorder="1" applyAlignment="1" applyProtection="1">
      <alignment horizontal="left"/>
    </xf>
    <xf numFmtId="0" fontId="6" fillId="0" borderId="0" xfId="0" applyFont="1" applyFill="1" applyBorder="1" applyAlignment="1" applyProtection="1">
      <alignment horizontal="left" wrapText="1"/>
    </xf>
    <xf numFmtId="43" fontId="5" fillId="2" borderId="22" xfId="93" applyFont="1" applyFill="1" applyBorder="1" applyAlignment="1" applyProtection="1">
      <alignment horizontal="left"/>
    </xf>
    <xf numFmtId="44" fontId="6" fillId="2" borderId="16" xfId="92" applyFont="1" applyFill="1" applyBorder="1" applyAlignment="1" applyProtection="1">
      <alignment horizontal="left"/>
    </xf>
    <xf numFmtId="43" fontId="5" fillId="2" borderId="22" xfId="93" applyFont="1" applyFill="1" applyBorder="1" applyAlignment="1" applyProtection="1"/>
    <xf numFmtId="43" fontId="5" fillId="2" borderId="20" xfId="93" applyFont="1" applyFill="1" applyBorder="1" applyAlignment="1" applyProtection="1"/>
    <xf numFmtId="44" fontId="6" fillId="2" borderId="24" xfId="92" applyFont="1" applyFill="1" applyBorder="1" applyAlignment="1" applyProtection="1">
      <alignment horizontal="left"/>
    </xf>
    <xf numFmtId="0" fontId="16" fillId="0" borderId="5" xfId="0" applyFont="1" applyBorder="1" applyAlignment="1" applyProtection="1">
      <alignment vertical="center"/>
    </xf>
    <xf numFmtId="0" fontId="0" fillId="0" borderId="0" xfId="0" applyFont="1" applyFill="1" applyBorder="1" applyAlignment="1" applyProtection="1">
      <alignment horizontal="left"/>
    </xf>
    <xf numFmtId="0" fontId="0" fillId="0" borderId="30" xfId="0" applyFont="1" applyFill="1" applyBorder="1" applyAlignment="1" applyProtection="1">
      <alignment horizontal="left"/>
    </xf>
    <xf numFmtId="0" fontId="16" fillId="0" borderId="0" xfId="0" applyFont="1" applyFill="1" applyBorder="1" applyAlignment="1" applyProtection="1">
      <alignment horizontal="left" wrapText="1"/>
    </xf>
    <xf numFmtId="44" fontId="21" fillId="2" borderId="19" xfId="92" applyFont="1" applyFill="1" applyBorder="1" applyAlignment="1" applyProtection="1">
      <alignment horizontal="left"/>
    </xf>
    <xf numFmtId="43" fontId="21" fillId="2" borderId="22" xfId="93" applyFont="1" applyFill="1" applyBorder="1" applyAlignment="1" applyProtection="1">
      <alignment horizontal="left"/>
    </xf>
    <xf numFmtId="44" fontId="21" fillId="2" borderId="9" xfId="92" applyFont="1" applyFill="1" applyBorder="1" applyAlignment="1" applyProtection="1">
      <alignment horizontal="left"/>
    </xf>
    <xf numFmtId="44" fontId="21" fillId="2" borderId="0" xfId="92" applyFont="1" applyFill="1" applyBorder="1" applyAlignment="1" applyProtection="1">
      <alignment horizontal="left"/>
    </xf>
    <xf numFmtId="44" fontId="21" fillId="2" borderId="16" xfId="92" applyFont="1" applyFill="1" applyBorder="1" applyAlignment="1" applyProtection="1">
      <alignment horizontal="left"/>
    </xf>
    <xf numFmtId="44" fontId="21" fillId="2" borderId="24" xfId="92" applyFont="1" applyFill="1" applyBorder="1" applyAlignment="1" applyProtection="1">
      <alignment horizontal="left"/>
    </xf>
    <xf numFmtId="0" fontId="19" fillId="0" borderId="0" xfId="0" applyFont="1" applyFill="1" applyBorder="1" applyAlignment="1" applyProtection="1">
      <alignment vertical="center" wrapText="1"/>
    </xf>
    <xf numFmtId="0" fontId="16" fillId="0" borderId="0" xfId="0" applyFont="1" applyBorder="1" applyAlignment="1" applyProtection="1">
      <alignment horizontal="left"/>
    </xf>
    <xf numFmtId="0" fontId="14" fillId="0" borderId="6" xfId="0" applyFont="1" applyBorder="1" applyAlignment="1" applyProtection="1">
      <alignment horizontal="left" wrapText="1"/>
    </xf>
    <xf numFmtId="44" fontId="14" fillId="0" borderId="7" xfId="0" applyNumberFormat="1" applyFont="1" applyFill="1" applyBorder="1" applyProtection="1"/>
    <xf numFmtId="0" fontId="0" fillId="0" borderId="32" xfId="0" applyFont="1" applyFill="1" applyBorder="1" applyAlignment="1" applyProtection="1">
      <alignment horizontal="left"/>
    </xf>
    <xf numFmtId="0" fontId="14" fillId="0" borderId="5" xfId="0" applyFont="1" applyBorder="1" applyAlignment="1" applyProtection="1">
      <alignment horizontal="left" wrapText="1"/>
    </xf>
    <xf numFmtId="0" fontId="14" fillId="0" borderId="28" xfId="0" applyFont="1" applyFill="1" applyBorder="1" applyAlignment="1" applyProtection="1">
      <alignment horizontal="left" vertical="center"/>
    </xf>
    <xf numFmtId="0" fontId="13" fillId="0" borderId="25" xfId="0" applyFont="1" applyFill="1" applyBorder="1" applyAlignment="1" applyProtection="1">
      <alignment horizontal="centerContinuous" vertical="center" wrapText="1"/>
    </xf>
    <xf numFmtId="0" fontId="13" fillId="0" borderId="4" xfId="0" applyFont="1" applyFill="1" applyBorder="1" applyAlignment="1" applyProtection="1">
      <alignment horizontal="centerContinuous" vertical="center" wrapText="1"/>
    </xf>
    <xf numFmtId="43" fontId="21" fillId="2" borderId="45" xfId="93" applyFont="1" applyFill="1" applyBorder="1" applyAlignment="1" applyProtection="1">
      <alignment horizontal="left"/>
    </xf>
    <xf numFmtId="44" fontId="7" fillId="2" borderId="44" xfId="92" applyFont="1" applyFill="1" applyBorder="1" applyAlignment="1" applyProtection="1">
      <alignment horizontal="left"/>
    </xf>
    <xf numFmtId="43" fontId="21" fillId="2" borderId="8" xfId="93" applyFont="1" applyFill="1" applyBorder="1" applyAlignment="1" applyProtection="1">
      <alignment horizontal="left"/>
    </xf>
    <xf numFmtId="0" fontId="0" fillId="0" borderId="30" xfId="0" applyBorder="1" applyProtection="1"/>
    <xf numFmtId="0" fontId="0" fillId="0" borderId="32" xfId="0" applyBorder="1" applyProtection="1"/>
    <xf numFmtId="0" fontId="7" fillId="0" borderId="0" xfId="0" applyFont="1" applyProtection="1"/>
    <xf numFmtId="0" fontId="12" fillId="2" borderId="9" xfId="92" applyNumberFormat="1" applyFont="1" applyFill="1" applyBorder="1" applyAlignment="1" applyProtection="1">
      <alignment horizontal="right"/>
    </xf>
    <xf numFmtId="43" fontId="5" fillId="2" borderId="8" xfId="93" applyFont="1" applyFill="1" applyBorder="1" applyAlignment="1" applyProtection="1"/>
    <xf numFmtId="0" fontId="0" fillId="3" borderId="0" xfId="0" applyFill="1" applyProtection="1">
      <protection locked="0"/>
    </xf>
    <xf numFmtId="164" fontId="0" fillId="3" borderId="24" xfId="0" applyNumberFormat="1" applyFont="1" applyFill="1" applyBorder="1" applyAlignment="1" applyProtection="1">
      <alignment vertical="center"/>
      <protection locked="0"/>
    </xf>
    <xf numFmtId="49" fontId="13" fillId="2" borderId="65" xfId="0" applyNumberFormat="1" applyFont="1" applyFill="1" applyBorder="1" applyAlignment="1">
      <alignment horizontal="center" vertical="center" wrapText="1"/>
    </xf>
    <xf numFmtId="44" fontId="0" fillId="3" borderId="66" xfId="92" applyFont="1" applyFill="1" applyBorder="1" applyAlignment="1" applyProtection="1">
      <alignment vertical="center"/>
      <protection locked="0"/>
    </xf>
    <xf numFmtId="44" fontId="0" fillId="3" borderId="14" xfId="92" applyFont="1" applyFill="1" applyBorder="1" applyAlignment="1" applyProtection="1">
      <alignment vertical="center"/>
      <protection locked="0"/>
    </xf>
    <xf numFmtId="44" fontId="0" fillId="2" borderId="16" xfId="92" applyFont="1" applyFill="1" applyBorder="1" applyAlignment="1" applyProtection="1">
      <alignment vertical="center"/>
    </xf>
    <xf numFmtId="44" fontId="0" fillId="2" borderId="66" xfId="92" applyFont="1" applyFill="1" applyBorder="1" applyAlignment="1" applyProtection="1">
      <alignment vertical="center"/>
    </xf>
    <xf numFmtId="44" fontId="0" fillId="2" borderId="9" xfId="92" applyFont="1" applyFill="1" applyBorder="1" applyAlignment="1" applyProtection="1">
      <alignment vertical="center"/>
    </xf>
    <xf numFmtId="0" fontId="0" fillId="0" borderId="39" xfId="0" applyBorder="1"/>
    <xf numFmtId="0" fontId="0" fillId="0" borderId="0" xfId="0" applyBorder="1"/>
    <xf numFmtId="0" fontId="12" fillId="2" borderId="20" xfId="0" applyFont="1" applyFill="1" applyBorder="1" applyAlignment="1">
      <alignment wrapText="1"/>
    </xf>
    <xf numFmtId="44" fontId="0" fillId="3" borderId="67" xfId="92" applyFont="1" applyFill="1" applyBorder="1" applyAlignment="1" applyProtection="1">
      <alignment vertical="center"/>
      <protection locked="0"/>
    </xf>
    <xf numFmtId="44" fontId="0" fillId="3" borderId="68" xfId="92" applyFont="1" applyFill="1" applyBorder="1" applyAlignment="1" applyProtection="1">
      <alignment vertical="center"/>
      <protection locked="0"/>
    </xf>
    <xf numFmtId="0" fontId="12" fillId="2" borderId="22" xfId="0" applyFont="1" applyFill="1" applyBorder="1" applyAlignment="1">
      <alignment horizontal="right" wrapText="1"/>
    </xf>
    <xf numFmtId="0" fontId="7" fillId="0" borderId="0" xfId="0" applyFont="1" applyAlignment="1">
      <alignment horizontal="centerContinuous"/>
    </xf>
    <xf numFmtId="0" fontId="12" fillId="2" borderId="21" xfId="0" applyFont="1" applyFill="1" applyBorder="1" applyAlignment="1">
      <alignment wrapText="1"/>
    </xf>
    <xf numFmtId="0" fontId="14" fillId="2" borderId="19" xfId="0" applyFont="1" applyFill="1" applyBorder="1" applyAlignment="1">
      <alignment wrapText="1"/>
    </xf>
    <xf numFmtId="0" fontId="14" fillId="2" borderId="23" xfId="0" applyFont="1" applyFill="1" applyBorder="1" applyAlignment="1">
      <alignment wrapText="1"/>
    </xf>
    <xf numFmtId="0" fontId="14" fillId="2" borderId="22" xfId="0" applyFont="1" applyFill="1" applyBorder="1" applyAlignment="1">
      <alignment wrapText="1"/>
    </xf>
    <xf numFmtId="0" fontId="14" fillId="2" borderId="20" xfId="0" applyFont="1" applyFill="1" applyBorder="1" applyAlignment="1">
      <alignment wrapText="1"/>
    </xf>
    <xf numFmtId="44" fontId="12" fillId="2" borderId="9" xfId="92" applyFont="1" applyFill="1" applyBorder="1" applyAlignment="1">
      <alignment wrapText="1"/>
    </xf>
    <xf numFmtId="0" fontId="17" fillId="0" borderId="0" xfId="0" applyFont="1" applyFill="1" applyBorder="1" applyAlignment="1" applyProtection="1">
      <alignment horizontal="center" vertical="center"/>
    </xf>
    <xf numFmtId="0" fontId="16" fillId="0" borderId="0" xfId="0" applyFont="1" applyAlignment="1" applyProtection="1">
      <alignment wrapText="1"/>
    </xf>
    <xf numFmtId="0" fontId="27" fillId="2" borderId="20" xfId="0" applyFont="1" applyFill="1" applyBorder="1" applyAlignment="1">
      <alignment horizontal="center" vertical="center"/>
    </xf>
    <xf numFmtId="44" fontId="28" fillId="3" borderId="51" xfId="92" applyFont="1" applyFill="1" applyBorder="1" applyAlignment="1" applyProtection="1">
      <alignment vertical="center"/>
      <protection locked="0"/>
    </xf>
    <xf numFmtId="44" fontId="28" fillId="3" borderId="14" xfId="92" applyFont="1" applyFill="1" applyBorder="1" applyAlignment="1" applyProtection="1">
      <alignment vertical="center"/>
      <protection locked="0"/>
    </xf>
    <xf numFmtId="0" fontId="10" fillId="2" borderId="20" xfId="0" applyFont="1" applyFill="1" applyBorder="1" applyAlignment="1">
      <alignment horizontal="center" vertical="center"/>
    </xf>
    <xf numFmtId="44" fontId="0" fillId="3" borderId="51" xfId="92" applyFont="1" applyFill="1" applyBorder="1" applyAlignment="1" applyProtection="1">
      <alignment vertical="center"/>
      <protection locked="0"/>
    </xf>
    <xf numFmtId="0" fontId="0" fillId="3" borderId="33" xfId="0" applyFont="1" applyFill="1" applyBorder="1" applyAlignment="1" applyProtection="1">
      <alignment vertical="center"/>
      <protection locked="0"/>
    </xf>
    <xf numFmtId="44" fontId="0" fillId="0" borderId="7" xfId="0" applyNumberFormat="1" applyFont="1" applyFill="1" applyBorder="1" applyProtection="1"/>
    <xf numFmtId="44" fontId="0" fillId="0" borderId="7" xfId="92" applyFont="1" applyFill="1" applyBorder="1" applyProtection="1"/>
    <xf numFmtId="44" fontId="7" fillId="2" borderId="30" xfId="92" applyFont="1" applyFill="1" applyBorder="1" applyAlignment="1" applyProtection="1">
      <alignment horizontal="left"/>
    </xf>
    <xf numFmtId="43" fontId="3" fillId="2" borderId="22" xfId="93" applyFont="1" applyFill="1" applyBorder="1" applyAlignment="1" applyProtection="1">
      <alignment horizontal="left"/>
    </xf>
    <xf numFmtId="44" fontId="17" fillId="0" borderId="12" xfId="0" applyNumberFormat="1" applyFont="1" applyFill="1" applyBorder="1" applyAlignment="1" applyProtection="1">
      <alignment horizontal="left" vertical="center"/>
    </xf>
    <xf numFmtId="44" fontId="17" fillId="2" borderId="56" xfId="92" applyNumberFormat="1" applyFont="1" applyFill="1" applyBorder="1" applyAlignment="1" applyProtection="1">
      <alignment vertical="center"/>
    </xf>
    <xf numFmtId="44" fontId="17" fillId="2" borderId="56" xfId="92" applyNumberFormat="1" applyFont="1" applyFill="1" applyBorder="1" applyAlignment="1">
      <alignment vertical="center"/>
    </xf>
    <xf numFmtId="44" fontId="17" fillId="2" borderId="9" xfId="92" applyFont="1" applyFill="1" applyBorder="1" applyAlignment="1" applyProtection="1">
      <alignment vertical="center"/>
    </xf>
    <xf numFmtId="44" fontId="17" fillId="2" borderId="24" xfId="92" applyNumberFormat="1" applyFont="1" applyFill="1" applyBorder="1" applyAlignment="1">
      <alignment vertical="center"/>
    </xf>
    <xf numFmtId="44" fontId="7" fillId="3" borderId="10" xfId="92" applyFont="1" applyFill="1" applyBorder="1" applyAlignment="1" applyProtection="1">
      <alignment horizontal="left"/>
      <protection locked="0"/>
    </xf>
    <xf numFmtId="44" fontId="7" fillId="2" borderId="14" xfId="0" applyNumberFormat="1" applyFont="1" applyFill="1" applyBorder="1" applyProtection="1"/>
    <xf numFmtId="44" fontId="7" fillId="3" borderId="14" xfId="0" applyNumberFormat="1" applyFont="1" applyFill="1" applyBorder="1" applyProtection="1">
      <protection locked="0"/>
    </xf>
    <xf numFmtId="44" fontId="7" fillId="3" borderId="24" xfId="0" applyNumberFormat="1" applyFont="1" applyFill="1" applyBorder="1" applyProtection="1">
      <protection locked="0"/>
    </xf>
    <xf numFmtId="0" fontId="0" fillId="2" borderId="60" xfId="0" applyFont="1" applyFill="1" applyBorder="1" applyProtection="1"/>
    <xf numFmtId="0" fontId="17" fillId="0" borderId="60" xfId="0" applyFont="1" applyBorder="1" applyAlignment="1" applyProtection="1">
      <alignment horizontal="right" vertical="center"/>
    </xf>
    <xf numFmtId="0" fontId="17" fillId="2" borderId="5" xfId="0" applyFont="1" applyFill="1" applyBorder="1" applyAlignment="1" applyProtection="1">
      <alignment horizontal="left" vertical="center" wrapText="1"/>
    </xf>
    <xf numFmtId="0" fontId="17" fillId="2" borderId="33" xfId="0" applyFont="1" applyFill="1" applyBorder="1" applyAlignment="1">
      <alignment horizontal="left" vertical="center" wrapText="1"/>
    </xf>
    <xf numFmtId="0" fontId="7" fillId="2" borderId="20" xfId="0" applyFont="1" applyFill="1" applyBorder="1" applyProtection="1"/>
    <xf numFmtId="0" fontId="7" fillId="2" borderId="8" xfId="0" applyFont="1" applyFill="1" applyBorder="1" applyAlignment="1" applyProtection="1"/>
    <xf numFmtId="0" fontId="10" fillId="2" borderId="71" xfId="0" applyFont="1" applyFill="1" applyBorder="1" applyAlignment="1">
      <alignment horizontal="center" vertical="center" wrapText="1"/>
    </xf>
    <xf numFmtId="0" fontId="0" fillId="3" borderId="52" xfId="0" applyFont="1" applyFill="1" applyBorder="1" applyAlignment="1" applyProtection="1">
      <alignment horizontal="center" vertical="center" wrapText="1"/>
      <protection locked="0"/>
    </xf>
    <xf numFmtId="44" fontId="0" fillId="2" borderId="51" xfId="92" applyFont="1" applyFill="1" applyBorder="1" applyAlignment="1">
      <alignment vertical="center"/>
    </xf>
    <xf numFmtId="0" fontId="10" fillId="2" borderId="70" xfId="0" applyFont="1" applyFill="1" applyBorder="1" applyAlignment="1">
      <alignment horizontal="center" vertical="center" wrapText="1"/>
    </xf>
    <xf numFmtId="0" fontId="10" fillId="2" borderId="69" xfId="0" applyFont="1" applyFill="1" applyBorder="1" applyAlignment="1">
      <alignment horizontal="center" vertical="center" wrapText="1"/>
    </xf>
    <xf numFmtId="44" fontId="0" fillId="2" borderId="72" xfId="0" applyNumberFormat="1" applyFont="1" applyFill="1" applyBorder="1" applyAlignment="1" applyProtection="1">
      <alignment vertical="center"/>
    </xf>
    <xf numFmtId="0" fontId="0" fillId="2" borderId="69" xfId="0" applyFont="1" applyFill="1" applyBorder="1" applyAlignment="1" applyProtection="1">
      <alignment horizontal="center" vertical="center" wrapText="1"/>
    </xf>
    <xf numFmtId="44" fontId="0" fillId="2" borderId="63" xfId="92" applyFont="1" applyFill="1" applyBorder="1" applyAlignment="1" applyProtection="1">
      <alignment vertical="center"/>
    </xf>
    <xf numFmtId="164" fontId="0" fillId="3" borderId="63" xfId="0" applyNumberFormat="1" applyFont="1" applyFill="1" applyBorder="1" applyAlignment="1" applyProtection="1">
      <alignment vertical="center"/>
      <protection locked="0"/>
    </xf>
    <xf numFmtId="0" fontId="17" fillId="0" borderId="17" xfId="0" applyFont="1" applyBorder="1" applyAlignment="1" applyProtection="1">
      <alignment horizontal="centerContinuous" vertical="center"/>
    </xf>
    <xf numFmtId="0" fontId="0" fillId="0" borderId="0" xfId="0" applyFont="1" applyBorder="1" applyAlignment="1" applyProtection="1"/>
    <xf numFmtId="0" fontId="0" fillId="2" borderId="0" xfId="0" applyFont="1" applyFill="1" applyBorder="1" applyAlignment="1" applyProtection="1"/>
    <xf numFmtId="0" fontId="7" fillId="0" borderId="0" xfId="0" applyFont="1" applyBorder="1" applyAlignment="1" applyProtection="1"/>
    <xf numFmtId="0" fontId="0" fillId="0" borderId="0" xfId="0" applyFont="1" applyAlignment="1" applyProtection="1"/>
    <xf numFmtId="44" fontId="17" fillId="2" borderId="10" xfId="92" applyFont="1" applyFill="1" applyBorder="1" applyAlignment="1" applyProtection="1">
      <alignment vertical="center"/>
    </xf>
    <xf numFmtId="44" fontId="7" fillId="3" borderId="16" xfId="92" applyFont="1" applyFill="1" applyBorder="1" applyAlignment="1" applyProtection="1">
      <alignment horizontal="left"/>
      <protection locked="0"/>
    </xf>
    <xf numFmtId="0" fontId="7" fillId="2" borderId="22" xfId="0" applyFont="1" applyFill="1" applyBorder="1" applyAlignment="1" applyProtection="1"/>
    <xf numFmtId="44" fontId="17" fillId="2" borderId="12" xfId="92" applyNumberFormat="1" applyFont="1" applyFill="1" applyBorder="1" applyAlignment="1" applyProtection="1">
      <alignment vertical="center"/>
    </xf>
    <xf numFmtId="0" fontId="7" fillId="0" borderId="5" xfId="0" applyFont="1" applyBorder="1" applyAlignment="1" applyProtection="1"/>
    <xf numFmtId="44" fontId="17" fillId="2" borderId="12" xfId="92" applyFont="1" applyFill="1" applyBorder="1" applyAlignment="1" applyProtection="1">
      <alignment horizontal="left" vertical="center"/>
    </xf>
    <xf numFmtId="44" fontId="14" fillId="2" borderId="9" xfId="92" applyNumberFormat="1" applyFont="1" applyFill="1" applyBorder="1" applyProtection="1"/>
    <xf numFmtId="0" fontId="14" fillId="2" borderId="42" xfId="0" applyFont="1" applyFill="1" applyBorder="1" applyAlignment="1" applyProtection="1">
      <alignment vertical="center" wrapText="1"/>
      <protection locked="0"/>
    </xf>
    <xf numFmtId="0" fontId="14" fillId="2" borderId="19" xfId="0" applyFont="1" applyFill="1" applyBorder="1" applyAlignment="1" applyProtection="1">
      <alignment vertical="center" wrapText="1"/>
      <protection locked="0"/>
    </xf>
    <xf numFmtId="0" fontId="14" fillId="2" borderId="39" xfId="0" applyFont="1" applyFill="1" applyBorder="1" applyAlignment="1" applyProtection="1">
      <alignment vertical="center" wrapText="1"/>
      <protection locked="0"/>
    </xf>
    <xf numFmtId="0" fontId="0" fillId="3" borderId="24" xfId="0" applyFont="1" applyFill="1" applyBorder="1" applyAlignment="1" applyProtection="1">
      <alignment vertical="center"/>
      <protection locked="0"/>
    </xf>
    <xf numFmtId="0" fontId="0" fillId="3" borderId="16" xfId="0" applyFont="1" applyFill="1" applyBorder="1" applyAlignment="1" applyProtection="1">
      <alignment vertical="center"/>
      <protection locked="0"/>
    </xf>
    <xf numFmtId="0" fontId="10" fillId="0" borderId="3" xfId="0" applyFont="1" applyBorder="1" applyAlignment="1">
      <alignment vertical="center"/>
    </xf>
    <xf numFmtId="0" fontId="10" fillId="0" borderId="17" xfId="0" applyFont="1" applyBorder="1" applyAlignment="1">
      <alignment horizontal="centerContinuous" vertical="center"/>
    </xf>
    <xf numFmtId="0" fontId="10" fillId="0" borderId="64" xfId="0" applyFont="1" applyBorder="1" applyAlignment="1">
      <alignment horizontal="centerContinuous" vertical="center"/>
    </xf>
    <xf numFmtId="0" fontId="0" fillId="2" borderId="33" xfId="0" applyFont="1" applyFill="1" applyBorder="1" applyAlignment="1">
      <alignment vertical="center"/>
    </xf>
    <xf numFmtId="0" fontId="0" fillId="2" borderId="0" xfId="0" applyFont="1" applyFill="1" applyBorder="1" applyAlignment="1">
      <alignment vertical="center"/>
    </xf>
    <xf numFmtId="0" fontId="7" fillId="0" borderId="14" xfId="0" applyFont="1" applyBorder="1" applyAlignment="1">
      <alignment vertical="center"/>
    </xf>
    <xf numFmtId="0" fontId="10" fillId="0" borderId="5" xfId="0" applyFont="1" applyBorder="1" applyAlignment="1">
      <alignment vertical="center"/>
    </xf>
    <xf numFmtId="0" fontId="10" fillId="0" borderId="27" xfId="0" applyFont="1" applyBorder="1" applyAlignment="1">
      <alignment horizontal="centerContinuous" vertical="center"/>
    </xf>
    <xf numFmtId="0" fontId="7" fillId="0" borderId="4" xfId="0" applyFont="1" applyBorder="1" applyAlignment="1">
      <alignment horizontal="centerContinuous" vertical="center"/>
    </xf>
    <xf numFmtId="0" fontId="10" fillId="0" borderId="4" xfId="0" applyFont="1" applyBorder="1" applyAlignment="1">
      <alignment horizontal="centerContinuous" vertical="center"/>
    </xf>
    <xf numFmtId="0" fontId="14" fillId="2" borderId="42" xfId="0" applyFont="1" applyFill="1" applyBorder="1" applyAlignment="1" applyProtection="1">
      <alignment vertical="center"/>
      <protection locked="0"/>
    </xf>
    <xf numFmtId="0" fontId="14" fillId="2" borderId="19" xfId="0" applyFont="1" applyFill="1" applyBorder="1" applyAlignment="1" applyProtection="1">
      <alignment vertical="center"/>
      <protection locked="0"/>
    </xf>
    <xf numFmtId="0" fontId="14" fillId="2" borderId="39" xfId="0" applyFont="1" applyFill="1" applyBorder="1" applyAlignment="1" applyProtection="1">
      <alignment vertical="center"/>
      <protection locked="0"/>
    </xf>
    <xf numFmtId="0" fontId="14" fillId="2" borderId="39" xfId="0" applyFont="1" applyFill="1" applyBorder="1" applyAlignment="1">
      <alignment horizontal="center" vertical="center"/>
    </xf>
    <xf numFmtId="0" fontId="10" fillId="0" borderId="0" xfId="0" applyFont="1" applyAlignment="1">
      <alignment horizontal="center"/>
    </xf>
    <xf numFmtId="0" fontId="0" fillId="3" borderId="14" xfId="0" applyNumberFormat="1" applyFont="1" applyFill="1" applyBorder="1" applyAlignment="1" applyProtection="1">
      <alignment vertical="center"/>
      <protection locked="0"/>
    </xf>
    <xf numFmtId="0" fontId="10" fillId="0" borderId="37" xfId="0" applyFont="1" applyBorder="1" applyAlignment="1">
      <alignment vertical="center"/>
    </xf>
    <xf numFmtId="0" fontId="10" fillId="0" borderId="26" xfId="0" applyFont="1" applyBorder="1" applyAlignment="1">
      <alignment vertical="center"/>
    </xf>
    <xf numFmtId="0" fontId="29" fillId="2" borderId="22" xfId="0" applyFont="1" applyFill="1" applyBorder="1" applyAlignment="1">
      <alignment horizontal="right" wrapText="1"/>
    </xf>
    <xf numFmtId="0" fontId="0" fillId="3" borderId="50" xfId="0" applyFont="1" applyFill="1" applyBorder="1" applyAlignment="1" applyProtection="1">
      <alignment horizontal="center" vertical="center" wrapText="1"/>
      <protection locked="0"/>
    </xf>
    <xf numFmtId="44" fontId="0" fillId="3" borderId="72" xfId="92" applyFont="1" applyFill="1" applyBorder="1" applyAlignment="1" applyProtection="1">
      <alignment vertical="center"/>
      <protection locked="0"/>
    </xf>
    <xf numFmtId="44" fontId="0" fillId="2" borderId="72" xfId="92" applyFont="1" applyFill="1" applyBorder="1" applyAlignment="1">
      <alignment vertical="center"/>
    </xf>
    <xf numFmtId="43" fontId="2" fillId="2" borderId="20" xfId="93" applyFont="1" applyFill="1" applyBorder="1" applyAlignment="1" applyProtection="1">
      <alignment horizontal="left"/>
    </xf>
    <xf numFmtId="44" fontId="2" fillId="2" borderId="24" xfId="92" applyFont="1" applyFill="1" applyBorder="1" applyAlignment="1" applyProtection="1">
      <alignment horizontal="left"/>
    </xf>
    <xf numFmtId="44" fontId="2" fillId="2" borderId="0" xfId="92" applyFont="1" applyFill="1" applyBorder="1" applyAlignment="1" applyProtection="1">
      <alignment horizontal="left"/>
    </xf>
    <xf numFmtId="43" fontId="5" fillId="2" borderId="8" xfId="93" applyFont="1" applyFill="1" applyBorder="1" applyAlignment="1" applyProtection="1">
      <alignment horizontal="left"/>
    </xf>
    <xf numFmtId="43" fontId="5" fillId="2" borderId="13" xfId="93" applyFont="1" applyFill="1" applyBorder="1" applyAlignment="1" applyProtection="1"/>
    <xf numFmtId="43" fontId="21" fillId="2" borderId="5" xfId="93" applyFont="1" applyFill="1" applyBorder="1" applyAlignment="1" applyProtection="1">
      <alignment horizontal="left"/>
    </xf>
    <xf numFmtId="43" fontId="21" fillId="2" borderId="20" xfId="93" applyFont="1" applyFill="1" applyBorder="1" applyAlignment="1" applyProtection="1">
      <alignment horizontal="left"/>
    </xf>
    <xf numFmtId="43" fontId="21" fillId="2" borderId="13" xfId="93" applyFont="1" applyFill="1" applyBorder="1" applyAlignment="1" applyProtection="1">
      <alignment horizontal="left"/>
    </xf>
    <xf numFmtId="43" fontId="21" fillId="2" borderId="34" xfId="93" applyFont="1" applyFill="1" applyBorder="1" applyAlignment="1" applyProtection="1"/>
    <xf numFmtId="43" fontId="2" fillId="2" borderId="13" xfId="93" applyFont="1" applyFill="1" applyBorder="1" applyAlignment="1" applyProtection="1">
      <alignment horizontal="left"/>
    </xf>
    <xf numFmtId="43" fontId="21" fillId="2" borderId="8" xfId="93" applyFont="1" applyFill="1" applyBorder="1" applyAlignment="1" applyProtection="1"/>
    <xf numFmtId="0" fontId="13" fillId="0" borderId="73" xfId="0" applyFont="1" applyFill="1" applyBorder="1" applyAlignment="1" applyProtection="1">
      <alignment horizontal="centerContinuous" vertical="center" wrapText="1"/>
    </xf>
    <xf numFmtId="43" fontId="3" fillId="2" borderId="8" xfId="93" applyFont="1" applyFill="1" applyBorder="1" applyAlignment="1" applyProtection="1">
      <alignment horizontal="left"/>
    </xf>
    <xf numFmtId="43" fontId="2" fillId="2" borderId="8" xfId="93" applyFont="1" applyFill="1" applyBorder="1" applyAlignment="1" applyProtection="1">
      <alignment horizontal="left"/>
    </xf>
    <xf numFmtId="44" fontId="2" fillId="2" borderId="9" xfId="92" applyFont="1" applyFill="1" applyBorder="1" applyAlignment="1" applyProtection="1">
      <alignment horizontal="left"/>
    </xf>
    <xf numFmtId="0" fontId="10" fillId="2" borderId="74" xfId="0" applyFont="1" applyFill="1" applyBorder="1" applyAlignment="1">
      <alignment horizontal="center" vertical="center" wrapText="1"/>
    </xf>
    <xf numFmtId="0" fontId="0" fillId="2" borderId="24" xfId="0" applyFill="1" applyBorder="1" applyAlignment="1">
      <alignment horizontal="left" wrapText="1"/>
    </xf>
    <xf numFmtId="1" fontId="18" fillId="2" borderId="9" xfId="0" applyNumberFormat="1" applyFont="1" applyFill="1" applyBorder="1" applyProtection="1"/>
    <xf numFmtId="1" fontId="0" fillId="3" borderId="70" xfId="0" applyNumberFormat="1" applyFont="1" applyFill="1" applyBorder="1" applyAlignment="1" applyProtection="1">
      <alignment vertical="center"/>
      <protection locked="0"/>
    </xf>
    <xf numFmtId="1" fontId="0" fillId="3" borderId="46" xfId="0" applyNumberFormat="1" applyFont="1" applyFill="1" applyBorder="1" applyAlignment="1" applyProtection="1">
      <alignment vertical="center"/>
      <protection locked="0"/>
    </xf>
    <xf numFmtId="1" fontId="0" fillId="3" borderId="15" xfId="0" applyNumberFormat="1" applyFont="1" applyFill="1" applyBorder="1" applyAlignment="1" applyProtection="1">
      <alignment vertical="center"/>
      <protection locked="0"/>
    </xf>
    <xf numFmtId="1" fontId="0" fillId="3" borderId="33" xfId="0" applyNumberFormat="1" applyFont="1" applyFill="1" applyBorder="1" applyAlignment="1" applyProtection="1">
      <alignment vertical="center"/>
      <protection locked="0"/>
    </xf>
    <xf numFmtId="1" fontId="0" fillId="2" borderId="70" xfId="0" applyNumberFormat="1" applyFont="1" applyFill="1" applyBorder="1" applyAlignment="1" applyProtection="1">
      <alignment vertical="center" wrapText="1"/>
    </xf>
    <xf numFmtId="1" fontId="0" fillId="2" borderId="33" xfId="0" applyNumberFormat="1" applyFont="1" applyFill="1" applyBorder="1" applyAlignment="1" applyProtection="1">
      <alignment vertical="center" wrapText="1"/>
    </xf>
    <xf numFmtId="44" fontId="0" fillId="3" borderId="66" xfId="92" applyFont="1" applyFill="1" applyBorder="1" applyAlignment="1" applyProtection="1">
      <alignment horizontal="center" vertical="center"/>
      <protection locked="0"/>
    </xf>
    <xf numFmtId="44" fontId="0" fillId="3" borderId="9" xfId="92" applyFont="1" applyFill="1" applyBorder="1" applyAlignment="1" applyProtection="1">
      <alignment horizontal="center" vertical="center"/>
      <protection locked="0"/>
    </xf>
    <xf numFmtId="44" fontId="0" fillId="3" borderId="75" xfId="92" applyFont="1" applyFill="1" applyBorder="1" applyAlignment="1" applyProtection="1">
      <alignment horizontal="center" vertical="center"/>
      <protection locked="0"/>
    </xf>
    <xf numFmtId="14" fontId="0" fillId="3" borderId="66" xfId="0" applyNumberFormat="1" applyFont="1" applyFill="1" applyBorder="1" applyAlignment="1" applyProtection="1">
      <alignment horizontal="center" vertical="center"/>
      <protection locked="0"/>
    </xf>
    <xf numFmtId="14" fontId="0" fillId="3" borderId="63" xfId="0" applyNumberFormat="1" applyFont="1" applyFill="1" applyBorder="1" applyAlignment="1" applyProtection="1">
      <alignment horizontal="center" vertical="center"/>
      <protection locked="0"/>
    </xf>
    <xf numFmtId="14" fontId="0" fillId="3" borderId="9" xfId="0" applyNumberFormat="1" applyFont="1" applyFill="1" applyBorder="1" applyAlignment="1" applyProtection="1">
      <alignment horizontal="center" vertical="center"/>
      <protection locked="0"/>
    </xf>
    <xf numFmtId="14" fontId="0" fillId="3" borderId="16" xfId="0" applyNumberFormat="1" applyFont="1" applyFill="1" applyBorder="1" applyAlignment="1" applyProtection="1">
      <alignment horizontal="center" vertical="center"/>
      <protection locked="0"/>
    </xf>
    <xf numFmtId="14" fontId="0" fillId="3" borderId="75" xfId="0" applyNumberFormat="1" applyFont="1" applyFill="1" applyBorder="1" applyAlignment="1" applyProtection="1">
      <alignment horizontal="center" vertical="center"/>
      <protection locked="0"/>
    </xf>
    <xf numFmtId="14" fontId="0" fillId="3" borderId="76" xfId="0" applyNumberFormat="1" applyFont="1" applyFill="1" applyBorder="1" applyAlignment="1" applyProtection="1">
      <alignment horizontal="center" vertical="center"/>
      <protection locked="0"/>
    </xf>
    <xf numFmtId="0" fontId="0" fillId="2" borderId="69" xfId="0" applyFont="1" applyFill="1" applyBorder="1" applyAlignment="1" applyProtection="1">
      <alignment horizontal="center" vertical="center" wrapText="1"/>
      <protection locked="0"/>
    </xf>
    <xf numFmtId="0" fontId="7" fillId="0" borderId="0" xfId="0" applyFont="1" applyAlignment="1" applyProtection="1"/>
    <xf numFmtId="0" fontId="33" fillId="2" borderId="0" xfId="0" applyFont="1" applyFill="1" applyBorder="1" applyAlignment="1" applyProtection="1"/>
    <xf numFmtId="0" fontId="32" fillId="0" borderId="0" xfId="96" applyFont="1" applyBorder="1" applyProtection="1"/>
    <xf numFmtId="0" fontId="24" fillId="0" borderId="0" xfId="0" applyFont="1" applyAlignment="1">
      <alignment horizontal="center"/>
    </xf>
    <xf numFmtId="0" fontId="31" fillId="0" borderId="0" xfId="0" applyFont="1" applyBorder="1" applyAlignment="1">
      <alignment horizontal="center" vertical="center"/>
    </xf>
    <xf numFmtId="0" fontId="24" fillId="0" borderId="0" xfId="0" applyFont="1" applyAlignment="1" applyProtection="1">
      <alignment horizontal="center"/>
    </xf>
    <xf numFmtId="0" fontId="24" fillId="2" borderId="0" xfId="0" applyFont="1" applyFill="1" applyBorder="1" applyAlignment="1" applyProtection="1">
      <alignment horizontal="center"/>
    </xf>
    <xf numFmtId="0" fontId="37" fillId="0" borderId="33" xfId="0" applyFont="1" applyBorder="1" applyAlignment="1">
      <alignment horizontal="left" wrapText="1"/>
    </xf>
    <xf numFmtId="0" fontId="38" fillId="0" borderId="0" xfId="96" applyFont="1" applyAlignment="1">
      <alignment vertical="center"/>
    </xf>
    <xf numFmtId="0" fontId="37" fillId="0" borderId="0" xfId="0" applyFont="1" applyAlignment="1"/>
    <xf numFmtId="0" fontId="38" fillId="0" borderId="0" xfId="96" applyFont="1" applyAlignment="1"/>
    <xf numFmtId="0" fontId="38" fillId="0" borderId="0" xfId="96" applyFont="1"/>
    <xf numFmtId="0" fontId="39" fillId="0" borderId="0" xfId="0" applyFont="1" applyBorder="1" applyAlignment="1">
      <alignment horizontal="center" vertical="center"/>
    </xf>
    <xf numFmtId="0" fontId="40" fillId="0" borderId="0" xfId="0" applyFont="1" applyAlignment="1">
      <alignment vertical="center"/>
    </xf>
    <xf numFmtId="0" fontId="41" fillId="0" borderId="0" xfId="0" applyFont="1" applyAlignment="1">
      <alignment horizontal="center"/>
    </xf>
    <xf numFmtId="0" fontId="42" fillId="0" borderId="0" xfId="0" applyFont="1"/>
    <xf numFmtId="0" fontId="42" fillId="0" borderId="0" xfId="0" applyFont="1" applyProtection="1"/>
    <xf numFmtId="0" fontId="42" fillId="0" borderId="0" xfId="0" applyFont="1" applyAlignment="1" applyProtection="1"/>
    <xf numFmtId="0" fontId="7" fillId="2" borderId="0" xfId="0" applyFont="1" applyFill="1" applyBorder="1" applyAlignment="1" applyProtection="1"/>
    <xf numFmtId="44" fontId="7" fillId="3" borderId="0" xfId="92" applyFont="1" applyFill="1" applyBorder="1" applyAlignment="1" applyProtection="1">
      <alignment horizontal="left"/>
      <protection locked="0"/>
    </xf>
    <xf numFmtId="0" fontId="41" fillId="2" borderId="0" xfId="0" applyFont="1" applyFill="1" applyBorder="1" applyAlignment="1" applyProtection="1">
      <alignment horizontal="center"/>
    </xf>
    <xf numFmtId="0" fontId="42" fillId="2" borderId="0" xfId="0" applyFont="1" applyFill="1" applyBorder="1" applyAlignment="1" applyProtection="1"/>
    <xf numFmtId="0" fontId="42" fillId="2" borderId="0" xfId="0" applyFont="1" applyFill="1" applyBorder="1" applyAlignment="1">
      <alignment vertical="center"/>
    </xf>
    <xf numFmtId="0" fontId="40" fillId="2" borderId="0" xfId="0" applyFont="1" applyFill="1" applyBorder="1" applyAlignment="1">
      <alignment horizontal="right" vertical="center"/>
    </xf>
    <xf numFmtId="44" fontId="40" fillId="2" borderId="0" xfId="92" applyFont="1" applyFill="1" applyBorder="1" applyAlignment="1">
      <alignment vertical="center"/>
    </xf>
    <xf numFmtId="0" fontId="42" fillId="2" borderId="0" xfId="0" applyFont="1" applyFill="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42" fillId="2" borderId="0" xfId="0" applyFont="1" applyFill="1" applyBorder="1" applyAlignment="1"/>
    <xf numFmtId="0" fontId="40" fillId="2" borderId="0" xfId="0" applyFont="1" applyFill="1" applyBorder="1" applyAlignment="1">
      <alignment horizontal="right"/>
    </xf>
    <xf numFmtId="44" fontId="40" fillId="2" borderId="0" xfId="92" applyFont="1" applyFill="1" applyBorder="1" applyAlignment="1"/>
    <xf numFmtId="0" fontId="42" fillId="2" borderId="0" xfId="0" applyFont="1" applyFill="1" applyAlignment="1"/>
    <xf numFmtId="0" fontId="42" fillId="0" borderId="0" xfId="0" applyFont="1" applyAlignment="1"/>
    <xf numFmtId="0" fontId="41" fillId="0" borderId="0" xfId="0" applyFont="1" applyAlignment="1" applyProtection="1">
      <alignment horizontal="center"/>
    </xf>
    <xf numFmtId="44" fontId="7" fillId="0" borderId="0" xfId="92" applyFont="1" applyFill="1" applyBorder="1" applyAlignment="1" applyProtection="1">
      <alignment horizontal="left"/>
      <protection locked="0"/>
    </xf>
    <xf numFmtId="0" fontId="40" fillId="2" borderId="0" xfId="0" applyFont="1" applyFill="1" applyBorder="1" applyAlignment="1" applyProtection="1"/>
    <xf numFmtId="44" fontId="40" fillId="0" borderId="0" xfId="92" applyFont="1" applyFill="1" applyBorder="1" applyAlignment="1" applyProtection="1">
      <alignment horizontal="left"/>
      <protection locked="0"/>
    </xf>
    <xf numFmtId="0" fontId="43" fillId="0" borderId="0" xfId="96" applyFont="1" applyBorder="1" applyProtection="1"/>
    <xf numFmtId="0" fontId="43" fillId="0" borderId="0" xfId="96" applyFont="1" applyBorder="1" applyAlignment="1" applyProtection="1"/>
    <xf numFmtId="0" fontId="44" fillId="2" borderId="22" xfId="0" applyFont="1" applyFill="1" applyBorder="1"/>
    <xf numFmtId="44" fontId="21" fillId="5" borderId="24" xfId="92" applyFont="1" applyFill="1" applyBorder="1" applyAlignment="1" applyProtection="1">
      <alignment horizontal="left"/>
    </xf>
    <xf numFmtId="0" fontId="25" fillId="0" borderId="77" xfId="95" applyFont="1" applyBorder="1" applyAlignment="1">
      <alignment vertical="top" wrapText="1"/>
    </xf>
    <xf numFmtId="0" fontId="4" fillId="0" borderId="77" xfId="95" applyBorder="1"/>
    <xf numFmtId="0" fontId="35" fillId="0" borderId="77" xfId="0" applyFont="1" applyBorder="1" applyAlignment="1">
      <alignment vertical="center" wrapText="1"/>
    </xf>
    <xf numFmtId="0" fontId="21" fillId="0" borderId="77" xfId="95" applyFont="1" applyBorder="1" applyAlignment="1">
      <alignment horizontal="right" indent="15"/>
    </xf>
    <xf numFmtId="49" fontId="0" fillId="3" borderId="16" xfId="92" applyNumberFormat="1" applyFont="1" applyFill="1" applyBorder="1" applyAlignment="1" applyProtection="1">
      <alignment horizontal="left"/>
      <protection locked="0"/>
    </xf>
    <xf numFmtId="0" fontId="0" fillId="2" borderId="30" xfId="0" applyFont="1" applyFill="1" applyBorder="1" applyAlignment="1" applyProtection="1">
      <alignment horizontal="left"/>
    </xf>
    <xf numFmtId="0" fontId="18" fillId="4" borderId="16" xfId="0" applyFont="1" applyFill="1" applyBorder="1" applyAlignment="1" applyProtection="1">
      <alignment vertical="center"/>
      <protection locked="0"/>
    </xf>
    <xf numFmtId="0" fontId="7" fillId="0" borderId="0" xfId="0" applyFont="1" applyAlignment="1">
      <alignment vertical="center"/>
    </xf>
    <xf numFmtId="0" fontId="7" fillId="2" borderId="0" xfId="0" applyFont="1" applyFill="1" applyBorder="1" applyProtection="1"/>
    <xf numFmtId="0" fontId="10" fillId="0" borderId="0" xfId="0" applyFont="1" applyBorder="1" applyAlignment="1"/>
    <xf numFmtId="0" fontId="10" fillId="0" borderId="0" xfId="0" applyNumberFormat="1" applyFont="1" applyBorder="1" applyAlignment="1"/>
    <xf numFmtId="0" fontId="1" fillId="0" borderId="0" xfId="0" applyFont="1" applyProtection="1"/>
    <xf numFmtId="0" fontId="17" fillId="0" borderId="3" xfId="0" applyFont="1" applyBorder="1" applyAlignment="1" applyProtection="1">
      <alignment horizontal="left"/>
    </xf>
    <xf numFmtId="0" fontId="18" fillId="0" borderId="3" xfId="0" applyFont="1" applyBorder="1" applyAlignment="1" applyProtection="1">
      <alignment horizontal="left"/>
    </xf>
    <xf numFmtId="0" fontId="7" fillId="0" borderId="0" xfId="0" applyFont="1" applyAlignment="1">
      <alignment horizontal="left"/>
    </xf>
    <xf numFmtId="0" fontId="0" fillId="0" borderId="0" xfId="0" applyAlignment="1">
      <alignment horizontal="left"/>
    </xf>
    <xf numFmtId="0" fontId="8" fillId="0" borderId="0" xfId="96" applyProtection="1"/>
    <xf numFmtId="0" fontId="8" fillId="0" borderId="0" xfId="96" applyBorder="1" applyProtection="1"/>
    <xf numFmtId="0" fontId="45" fillId="0" borderId="30" xfId="0" applyFont="1" applyFill="1" applyBorder="1" applyAlignment="1" applyProtection="1">
      <alignment horizontal="left"/>
    </xf>
    <xf numFmtId="0" fontId="12" fillId="0" borderId="9" xfId="92" applyNumberFormat="1" applyFont="1" applyFill="1" applyBorder="1" applyAlignment="1" applyProtection="1">
      <alignment horizontal="right"/>
    </xf>
    <xf numFmtId="165" fontId="0" fillId="3" borderId="16" xfId="92" applyNumberFormat="1" applyFont="1" applyFill="1" applyBorder="1" applyAlignment="1" applyProtection="1">
      <alignment horizontal="right"/>
    </xf>
    <xf numFmtId="44" fontId="0" fillId="3" borderId="16" xfId="92" applyNumberFormat="1" applyFont="1" applyFill="1" applyBorder="1" applyAlignment="1" applyProtection="1">
      <alignment horizontal="left"/>
    </xf>
    <xf numFmtId="0" fontId="34" fillId="0" borderId="0" xfId="0" applyFont="1" applyAlignment="1">
      <alignment horizontal="center" vertical="center" wrapText="1"/>
    </xf>
    <xf numFmtId="0" fontId="24" fillId="0" borderId="33" xfId="0" applyFont="1" applyBorder="1" applyAlignment="1">
      <alignment horizontal="center"/>
    </xf>
    <xf numFmtId="0" fontId="37" fillId="0" borderId="15" xfId="0" applyFont="1" applyBorder="1" applyAlignment="1">
      <alignment horizontal="left" wrapText="1"/>
    </xf>
    <xf numFmtId="0" fontId="24" fillId="0" borderId="0" xfId="0" applyFont="1" applyAlignment="1">
      <alignment horizontal="center"/>
    </xf>
    <xf numFmtId="0" fontId="24" fillId="0" borderId="0" xfId="0" applyFont="1" applyAlignment="1">
      <alignment horizontal="center" vertical="center"/>
    </xf>
    <xf numFmtId="0" fontId="31" fillId="0" borderId="0" xfId="0" applyFont="1" applyBorder="1" applyAlignment="1">
      <alignment horizontal="center" vertical="center"/>
    </xf>
    <xf numFmtId="43" fontId="30" fillId="2" borderId="5" xfId="93" applyFont="1" applyFill="1" applyBorder="1" applyAlignment="1" applyProtection="1">
      <alignment horizontal="center"/>
    </xf>
    <xf numFmtId="43" fontId="30" fillId="2" borderId="0" xfId="93" applyFont="1" applyFill="1" applyBorder="1" applyAlignment="1" applyProtection="1">
      <alignment horizontal="center"/>
    </xf>
    <xf numFmtId="0" fontId="30" fillId="0" borderId="18" xfId="0" applyFont="1" applyBorder="1" applyAlignment="1" applyProtection="1">
      <alignment horizontal="center"/>
    </xf>
    <xf numFmtId="0" fontId="24" fillId="0" borderId="7" xfId="0" applyFont="1" applyBorder="1" applyAlignment="1" applyProtection="1">
      <alignment horizontal="center"/>
    </xf>
    <xf numFmtId="43" fontId="30" fillId="0" borderId="5" xfId="93" applyFont="1" applyBorder="1" applyAlignment="1" applyProtection="1">
      <alignment horizontal="center"/>
    </xf>
    <xf numFmtId="43" fontId="30" fillId="0" borderId="0" xfId="93" applyFont="1" applyBorder="1" applyAlignment="1" applyProtection="1">
      <alignment horizontal="center"/>
    </xf>
    <xf numFmtId="43" fontId="30" fillId="2" borderId="36" xfId="93" applyFont="1" applyFill="1" applyBorder="1" applyAlignment="1" applyProtection="1">
      <alignment horizontal="center"/>
    </xf>
    <xf numFmtId="43" fontId="30" fillId="2" borderId="33" xfId="93" applyFont="1" applyFill="1" applyBorder="1" applyAlignment="1" applyProtection="1">
      <alignment horizontal="center"/>
    </xf>
    <xf numFmtId="0" fontId="24" fillId="0" borderId="3" xfId="0" applyFont="1" applyBorder="1" applyAlignment="1" applyProtection="1">
      <alignment horizontal="center"/>
    </xf>
    <xf numFmtId="0" fontId="24" fillId="0" borderId="0" xfId="0" applyFont="1" applyAlignment="1" applyProtection="1">
      <alignment horizontal="center"/>
    </xf>
    <xf numFmtId="0" fontId="23" fillId="0" borderId="7"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0" xfId="0" applyFont="1" applyBorder="1" applyAlignment="1" applyProtection="1">
      <alignment horizontal="center" vertical="center"/>
    </xf>
    <xf numFmtId="0" fontId="24" fillId="2" borderId="0" xfId="0" applyFont="1" applyFill="1" applyBorder="1" applyAlignment="1" applyProtection="1">
      <alignment horizontal="center"/>
    </xf>
    <xf numFmtId="44" fontId="30" fillId="2" borderId="5" xfId="92" applyFont="1" applyFill="1" applyBorder="1" applyAlignment="1" applyProtection="1">
      <alignment horizontal="center"/>
    </xf>
    <xf numFmtId="44" fontId="30" fillId="2" borderId="0" xfId="92" applyFont="1" applyFill="1" applyBorder="1" applyAlignment="1" applyProtection="1">
      <alignment horizontal="center"/>
    </xf>
    <xf numFmtId="0" fontId="17" fillId="0" borderId="0" xfId="0" applyFont="1" applyFill="1" applyBorder="1" applyAlignment="1" applyProtection="1">
      <alignment horizontal="center" vertical="center"/>
    </xf>
    <xf numFmtId="0" fontId="30" fillId="0" borderId="5" xfId="0" applyFont="1" applyBorder="1" applyAlignment="1" applyProtection="1">
      <alignment horizontal="center"/>
    </xf>
    <xf numFmtId="0" fontId="30" fillId="0" borderId="0" xfId="0" applyFont="1" applyBorder="1" applyAlignment="1" applyProtection="1">
      <alignment horizontal="center"/>
    </xf>
    <xf numFmtId="43" fontId="30" fillId="0" borderId="36" xfId="93" applyFont="1" applyBorder="1" applyAlignment="1" applyProtection="1">
      <alignment horizontal="center"/>
    </xf>
    <xf numFmtId="43" fontId="30" fillId="0" borderId="33" xfId="93" applyFont="1" applyBorder="1" applyAlignment="1" applyProtection="1">
      <alignment horizontal="center"/>
    </xf>
    <xf numFmtId="0" fontId="30" fillId="0" borderId="36" xfId="0" applyFont="1" applyBorder="1" applyAlignment="1" applyProtection="1">
      <alignment horizontal="center"/>
    </xf>
    <xf numFmtId="0" fontId="30" fillId="0" borderId="33" xfId="0" applyFont="1" applyBorder="1" applyAlignment="1" applyProtection="1">
      <alignment horizontal="center"/>
    </xf>
  </cellXfs>
  <cellStyles count="97">
    <cellStyle name="Comma" xfId="93" builtinId="3"/>
    <cellStyle name="Currency" xfId="92" builtinId="4"/>
    <cellStyle name="Followed Hyperlink" xfId="19" builtinId="9" hidden="1"/>
    <cellStyle name="Followed Hyperlink" xfId="22" builtinId="9" hidden="1"/>
    <cellStyle name="Followed Hyperlink" xfId="24" builtinId="9" hidden="1"/>
    <cellStyle name="Followed Hyperlink" xfId="27" builtinId="9" hidden="1"/>
    <cellStyle name="Followed Hyperlink" xfId="30" builtinId="9" hidden="1"/>
    <cellStyle name="Followed Hyperlink" xfId="32" builtinId="9" hidden="1"/>
    <cellStyle name="Followed Hyperlink" xfId="33" builtinId="9" hidden="1"/>
    <cellStyle name="Followed Hyperlink" xfId="25" builtinId="9" hidden="1"/>
    <cellStyle name="Followed Hyperlink" xfId="17" builtinId="9" hidden="1"/>
    <cellStyle name="Followed Hyperlink" xfId="7" builtinId="9" hidden="1"/>
    <cellStyle name="Followed Hyperlink" xfId="10" builtinId="9" hidden="1"/>
    <cellStyle name="Followed Hyperlink" xfId="12" builtinId="9" hidden="1"/>
    <cellStyle name="Followed Hyperlink" xfId="5" builtinId="9" hidden="1"/>
    <cellStyle name="Followed Hyperlink" xfId="4" builtinId="9" hidden="1"/>
    <cellStyle name="Followed Hyperlink" xfId="2" builtinId="9" hidden="1"/>
    <cellStyle name="Followed Hyperlink" xfId="6" builtinId="9" hidden="1"/>
    <cellStyle name="Followed Hyperlink" xfId="9" builtinId="9" hidden="1"/>
    <cellStyle name="Followed Hyperlink" xfId="11" builtinId="9" hidden="1"/>
    <cellStyle name="Followed Hyperlink" xfId="8" builtinId="9" hidden="1"/>
    <cellStyle name="Followed Hyperlink" xfId="13" builtinId="9" hidden="1"/>
    <cellStyle name="Followed Hyperlink" xfId="21" builtinId="9" hidden="1"/>
    <cellStyle name="Followed Hyperlink" xfId="29" builtinId="9" hidden="1"/>
    <cellStyle name="Followed Hyperlink" xfId="34" builtinId="9" hidden="1"/>
    <cellStyle name="Followed Hyperlink" xfId="31" builtinId="9" hidden="1"/>
    <cellStyle name="Followed Hyperlink" xfId="28" builtinId="9" hidden="1"/>
    <cellStyle name="Followed Hyperlink" xfId="26" builtinId="9" hidden="1"/>
    <cellStyle name="Followed Hyperlink" xfId="23" builtinId="9" hidden="1"/>
    <cellStyle name="Followed Hyperlink" xfId="20" builtinId="9" hidden="1"/>
    <cellStyle name="Followed Hyperlink" xfId="18" builtinId="9" hidden="1"/>
    <cellStyle name="Followed Hyperlink" xfId="63" builtinId="9" hidden="1"/>
    <cellStyle name="Followed Hyperlink" xfId="67" builtinId="9" hidden="1"/>
    <cellStyle name="Followed Hyperlink" xfId="71" builtinId="9" hidden="1"/>
    <cellStyle name="Followed Hyperlink" xfId="69" builtinId="9" hidden="1"/>
    <cellStyle name="Followed Hyperlink" xfId="65" builtinId="9" hidden="1"/>
    <cellStyle name="Followed Hyperlink" xfId="61" builtinId="9" hidden="1"/>
    <cellStyle name="Followed Hyperlink" xfId="53" builtinId="9" hidden="1"/>
    <cellStyle name="Followed Hyperlink" xfId="51" builtinId="9" hidden="1"/>
    <cellStyle name="Followed Hyperlink" xfId="49" builtinId="9" hidden="1"/>
    <cellStyle name="Followed Hyperlink" xfId="45" builtinId="9" hidden="1"/>
    <cellStyle name="Followed Hyperlink" xfId="43" builtinId="9" hidden="1"/>
    <cellStyle name="Followed Hyperlink" xfId="41" builtinId="9" hidden="1"/>
    <cellStyle name="Followed Hyperlink" xfId="37" builtinId="9" hidden="1"/>
    <cellStyle name="Followed Hyperlink" xfId="35" builtinId="9" hidden="1"/>
    <cellStyle name="Followed Hyperlink" xfId="14" builtinId="9" hidden="1"/>
    <cellStyle name="Followed Hyperlink" xfId="16" builtinId="9" hidden="1"/>
    <cellStyle name="Followed Hyperlink" xfId="15" builtinId="9" hidden="1"/>
    <cellStyle name="Followed Hyperlink" xfId="39" builtinId="9" hidden="1"/>
    <cellStyle name="Followed Hyperlink" xfId="47" builtinId="9" hidden="1"/>
    <cellStyle name="Followed Hyperlink" xfId="57" builtinId="9" hidden="1"/>
    <cellStyle name="Followed Hyperlink" xfId="73" builtinId="9" hidden="1"/>
    <cellStyle name="Followed Hyperlink" xfId="59"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5" builtinId="9" hidden="1"/>
    <cellStyle name="Followed Hyperlink" xfId="48" builtinId="9" hidden="1"/>
    <cellStyle name="Followed Hyperlink" xfId="40" builtinId="9" hidden="1"/>
    <cellStyle name="Followed Hyperlink" xfId="42" builtinId="9" hidden="1"/>
    <cellStyle name="Followed Hyperlink" xfId="38" builtinId="9" hidden="1"/>
    <cellStyle name="Followed Hyperlink" xfId="36"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56" builtinId="8" hidden="1"/>
    <cellStyle name="Hyperlink" xfId="58" builtinId="8" hidden="1"/>
    <cellStyle name="Hyperlink" xfId="60" builtinId="8" hidden="1"/>
    <cellStyle name="Hyperlink" xfId="3" builtinId="8" hidden="1"/>
    <cellStyle name="Hyperlink" xfId="54" builtinId="8" hidden="1"/>
    <cellStyle name="Hyperlink" xfId="1" builtinId="8" hidden="1"/>
    <cellStyle name="Hyperlink" xfId="68" builtinId="8" hidden="1"/>
    <cellStyle name="Hyperlink" xfId="70" builtinId="8" hidden="1"/>
    <cellStyle name="Hyperlink" xfId="72" builtinId="8" hidden="1"/>
    <cellStyle name="Hyperlink" xfId="64" builtinId="8" hidden="1"/>
    <cellStyle name="Hyperlink" xfId="66" builtinId="8" hidden="1"/>
    <cellStyle name="Hyperlink" xfId="6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6" builtinId="8"/>
    <cellStyle name="Normal" xfId="0" builtinId="0"/>
    <cellStyle name="Normal 2" xfId="95"/>
    <cellStyle name="Percent" xfId="94" builtinId="5"/>
  </cellStyles>
  <dxfs count="2388">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border diagonalUp="0" diagonalDown="0" outline="0">
        <left/>
        <right/>
        <top style="thin">
          <color auto="1"/>
        </top>
        <bottom style="thin">
          <color auto="1"/>
        </bottom>
      </border>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medium">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medium">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style="thin">
          <color auto="1"/>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ont>
        <b/>
      </font>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style="thin">
          <color auto="1"/>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ont>
        <b/>
      </font>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border diagonalUp="0" diagonalDown="0" outline="0">
        <left style="thin">
          <color auto="1"/>
        </left>
        <right/>
        <top/>
        <bottom/>
      </border>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font>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medium">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auto="1"/>
        </left>
        <right style="thin">
          <color auto="1"/>
        </right>
        <top style="thin">
          <color auto="1"/>
        </top>
        <bottom style="thin">
          <color indexed="64"/>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indexed="64"/>
        </left>
        <right style="thin">
          <color indexed="64"/>
        </right>
        <top style="thin">
          <color indexed="64"/>
        </top>
        <bottom style="thin">
          <color indexed="64"/>
        </bottom>
      </border>
    </dxf>
    <dxf>
      <protection locked="1" hidden="0"/>
    </dxf>
    <dxf>
      <border>
        <bottom style="thin">
          <color auto="1"/>
        </bottom>
      </border>
    </dxf>
    <dxf>
      <font>
        <strike val="0"/>
        <outline val="0"/>
        <shadow val="0"/>
        <u val="none"/>
        <vertAlign val="baseline"/>
        <sz val="11"/>
        <color auto="1"/>
        <name val="Calibri"/>
        <scheme val="minor"/>
      </font>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medium">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auto="1"/>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indexed="64"/>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indexed="64"/>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minor"/>
      </font>
      <fill>
        <patternFill patternType="solid">
          <fgColor indexed="64"/>
          <bgColor theme="0"/>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minor"/>
      </font>
      <fill>
        <patternFill patternType="solid">
          <fgColor indexed="64"/>
          <bgColor theme="0"/>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35" formatCode="_(* #,##0.00_);_(* \(#,##0.00\);_(* &quot;-&quot;??_);_(@_)"/>
      <fill>
        <patternFill patternType="solid">
          <fgColor indexed="64"/>
          <bgColor theme="0"/>
        </patternFill>
      </fill>
      <alignment horizontal="general"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ill>
        <patternFill>
          <bgColor theme="1"/>
        </patternFill>
      </fill>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top style="thick">
          <color auto="1"/>
        </top>
        <bottom style="thick">
          <color auto="1"/>
        </bottom>
        <vertical/>
        <horizontal style="thick">
          <color auto="1"/>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protection locked="0" hidden="0"/>
    </dxf>
    <dxf>
      <font>
        <b/>
        <i val="0"/>
        <strike val="0"/>
        <condense val="0"/>
        <extend val="0"/>
        <outline val="0"/>
        <shadow val="0"/>
        <u val="none"/>
        <vertAlign val="baseline"/>
        <sz val="14"/>
        <color theme="1"/>
        <name val="Calibri"/>
        <scheme val="minor"/>
      </font>
      <numFmt numFmtId="1" formatCode="0"/>
      <fill>
        <patternFill patternType="solid">
          <fgColor indexed="64"/>
          <bgColor theme="0"/>
        </patternFill>
      </fill>
      <alignment horizontal="general" vertical="center" textRotation="0" wrapText="1" indent="0" justifyLastLine="0" shrinkToFit="0" readingOrder="0"/>
      <border diagonalUp="0" diagonalDown="0">
        <left/>
        <right/>
        <top style="thin">
          <color auto="1"/>
        </top>
        <bottom/>
        <vertical/>
        <horizontal/>
      </border>
      <protection locked="1"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style="thick">
          <color auto="1"/>
        </top>
        <bottom style="thick">
          <color auto="1"/>
        </bottom>
        <vertical/>
        <horizontal style="thick">
          <color auto="1"/>
        </horizontal>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auto="1"/>
        </right>
        <top style="thin">
          <color auto="1"/>
        </top>
        <bottom style="thin">
          <color auto="1"/>
        </bottom>
        <horizontal style="thin">
          <color auto="1"/>
        </horizontal>
      </border>
    </dxf>
    <dxf>
      <border>
        <top style="thin">
          <color auto="1"/>
        </top>
      </border>
    </dxf>
    <dxf>
      <border diagonalUp="0" diagonalDown="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dxf>
    <dxf>
      <border>
        <bottom style="thick">
          <color auto="1"/>
        </bottom>
      </border>
    </dxf>
    <dxf>
      <font>
        <b/>
        <i val="0"/>
        <strike val="0"/>
        <condense val="0"/>
        <extend val="0"/>
        <outline val="0"/>
        <shadow val="0"/>
        <u val="none"/>
        <vertAlign val="baseline"/>
        <sz val="14"/>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color theme="1"/>
      </font>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9" defaultPivotStyle="PivotStyleMedium4"/>
  <colors>
    <mruColors>
      <color rgb="FF3F9AFF"/>
      <color rgb="FF000000"/>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4</xdr:row>
      <xdr:rowOff>0</xdr:rowOff>
    </xdr:from>
    <xdr:to>
      <xdr:col>0</xdr:col>
      <xdr:colOff>1683657</xdr:colOff>
      <xdr:row>7</xdr:row>
      <xdr:rowOff>68580</xdr:rowOff>
    </xdr:to>
    <xdr:pic>
      <xdr:nvPicPr>
        <xdr:cNvPr id="2" name="Picture 1" descr="CIFR: Center for IDEA Fiscal Reporting" title="CIFR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06680" y="3985260"/>
          <a:ext cx="1576977"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xdr:colOff>
      <xdr:row>0</xdr:row>
      <xdr:rowOff>38100</xdr:rowOff>
    </xdr:from>
    <xdr:ext cx="8488680" cy="66377820"/>
    <xdr:sp macro="" textlink="">
      <xdr:nvSpPr>
        <xdr:cNvPr id="3" name="TextBox 2" descr="The Instructions are also available as a PDF document, which is 508 Compliant. The PDF file is available on the CIFR website with the LEA MOE Calculator." title="Instructions">
          <a:extLst>
            <a:ext uri="{FF2B5EF4-FFF2-40B4-BE49-F238E27FC236}">
              <a16:creationId xmlns:a16="http://schemas.microsoft.com/office/drawing/2014/main" id="{00000000-0008-0000-0100-000003000000}"/>
            </a:ext>
          </a:extLst>
        </xdr:cNvPr>
        <xdr:cNvSpPr txBox="1"/>
      </xdr:nvSpPr>
      <xdr:spPr>
        <a:xfrm>
          <a:off x="68580" y="38100"/>
          <a:ext cx="8488680" cy="66377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endParaRPr lang="en-US" sz="1800" kern="1400" spc="-50">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0"/>
            </a:spcBef>
            <a:spcAft>
              <a:spcPts val="0"/>
            </a:spcAft>
          </a:pPr>
          <a:r>
            <a:rPr lang="en-US" sz="1800" kern="1400" spc="-50">
              <a:effectLst/>
              <a:latin typeface="Calibri" panose="020F0502020204030204" pitchFamily="34" charset="0"/>
              <a:ea typeface="MS Gothic" panose="020B0609070205080204" pitchFamily="49" charset="-128"/>
              <a:cs typeface="Times New Roman" panose="02020603050405020304" pitchFamily="18" charset="0"/>
            </a:rPr>
            <a:t>Local Educational Agency Maintenance of Effort Calculator: Instructions (version 1.3)</a:t>
          </a:r>
        </a:p>
        <a:p>
          <a:pPr marL="0" marR="0">
            <a:spcBef>
              <a:spcPts val="0"/>
            </a:spcBef>
            <a:spcAft>
              <a:spcPts val="0"/>
            </a:spcAft>
          </a:pPr>
          <a:r>
            <a:rPr lang="en-US" sz="14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a:t>
          </a:r>
        </a:p>
        <a:p>
          <a:pPr marL="0" marR="0">
            <a:spcBef>
              <a:spcPts val="0"/>
            </a:spcBef>
            <a:spcAft>
              <a:spcPts val="0"/>
            </a:spcAft>
          </a:pPr>
          <a:r>
            <a:rPr lang="en-US" sz="14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Introduction</a:t>
          </a:r>
        </a:p>
        <a:p>
          <a:pPr marL="0" marR="0">
            <a:spcBef>
              <a:spcPts val="1200"/>
            </a:spcBef>
            <a:spcAft>
              <a:spcPts val="1200"/>
            </a:spcAft>
          </a:pPr>
          <a:r>
            <a:rPr lang="en-US" sz="1100">
              <a:effectLst/>
              <a:latin typeface="Times New Roman" panose="02020603050405020304" pitchFamily="18" charset="0"/>
              <a:ea typeface="MS Mincho"/>
            </a:rPr>
            <a:t>The Center for IDEA Fiscal Reporting (CIFR) developed the Local Educational Agency Maintenance of Effort (LEA MOE) Calculator to help state educational agencies (SEAs) and/or LEAs:</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Document local or state and local fiscal effort in an LEA for special education and related services.</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Determine whether that effort meets the IDEA’s LEA MOE requirement (34 CFR §300.203), which stipulates that every LEA must budget and expend at least the same amount of local, or state and local, funds for the education of children with disabilities as the LEA spent in previous years.</a:t>
          </a:r>
        </a:p>
        <a:p>
          <a:pPr marL="0" marR="0">
            <a:spcBef>
              <a:spcPts val="1200"/>
            </a:spcBef>
            <a:spcAft>
              <a:spcPts val="1200"/>
            </a:spcAft>
          </a:pPr>
          <a:r>
            <a:rPr lang="en-US" sz="1100">
              <a:effectLst/>
              <a:latin typeface="Times New Roman" panose="02020603050405020304" pitchFamily="18" charset="0"/>
              <a:ea typeface="MS Mincho"/>
            </a:rPr>
            <a:t>This requirement includes both an eligibility standard — the LEA must </a:t>
          </a:r>
          <a:r>
            <a:rPr lang="en-US" sz="1100" i="1">
              <a:effectLst/>
              <a:latin typeface="Times New Roman" panose="02020603050405020304" pitchFamily="18" charset="0"/>
              <a:ea typeface="MS Mincho"/>
            </a:rPr>
            <a:t>budget </a:t>
          </a:r>
          <a:r>
            <a:rPr lang="en-US" sz="1100">
              <a:effectLst/>
              <a:latin typeface="Times New Roman" panose="02020603050405020304" pitchFamily="18" charset="0"/>
              <a:ea typeface="MS Mincho"/>
            </a:rPr>
            <a:t>at least the same amount as spent in the most recent year for which data are available and the LEA met LEA MOE — and a compliance standard — the LEA must </a:t>
          </a:r>
          <a:r>
            <a:rPr lang="en-US" sz="1100" i="1">
              <a:effectLst/>
              <a:latin typeface="Times New Roman" panose="02020603050405020304" pitchFamily="18" charset="0"/>
              <a:ea typeface="MS Mincho"/>
            </a:rPr>
            <a:t>expend </a:t>
          </a:r>
          <a:r>
            <a:rPr lang="en-US" sz="1100">
              <a:effectLst/>
              <a:latin typeface="Times New Roman" panose="02020603050405020304" pitchFamily="18" charset="0"/>
              <a:ea typeface="MS Mincho"/>
            </a:rPr>
            <a:t>at least the same amount as in the last year the LEA met LEA MOE. IDEA permits LEAs to meet each standard by any of four methods: by calculating total local funds, total state and local funds, local per capita funds, or state and local per capita funds. To learn more about these standards and methods, see CIFR’s Quick Reference Guide on IDEA LEA MOE: </a:t>
          </a:r>
          <a:r>
            <a:rPr lang="en-US" sz="1100" u="sng">
              <a:solidFill>
                <a:srgbClr val="0000FF"/>
              </a:solidFill>
              <a:effectLst/>
              <a:latin typeface="Times New Roman" panose="02020603050405020304" pitchFamily="18" charset="0"/>
              <a:ea typeface="MS Mincho"/>
              <a:hlinkClick xmlns:r="http://schemas.openxmlformats.org/officeDocument/2006/relationships" r:id=""/>
            </a:rPr>
            <a:t>http://cifr.wested.org/wp-content/uploads/2015/12/CIFR-LEA-MOE-QRG.pdf</a:t>
          </a:r>
          <a:r>
            <a:rPr lang="en-US" sz="1100">
              <a:effectLst/>
              <a:latin typeface="Times New Roman" panose="02020603050405020304" pitchFamily="18" charset="0"/>
              <a:ea typeface="MS Mincho"/>
            </a:rPr>
            <a:t>. The Quick Reference Guide also describes the basis for all allowable exceptions and adjustments. </a:t>
          </a:r>
        </a:p>
        <a:p>
          <a:pPr marL="0" marR="0">
            <a:spcBef>
              <a:spcPts val="1200"/>
            </a:spcBef>
            <a:spcAft>
              <a:spcPts val="1200"/>
            </a:spcAft>
          </a:pPr>
          <a:r>
            <a:rPr lang="en-US" sz="1100">
              <a:effectLst/>
              <a:latin typeface="Times New Roman" panose="02020603050405020304" pitchFamily="18" charset="0"/>
              <a:ea typeface="MS Mincho"/>
            </a:rPr>
            <a:t>An SEA may use this Calculator in multiple ways. It could complete the Excel workbook based on data submitted by each LEA; collaborate with each LEA to complete the workbook; or ask each LEA to complete and submit the workbook. For example, the SEA could populate previous years’ data and ask each LEA to enter current data.</a:t>
          </a:r>
        </a:p>
        <a:p>
          <a:pPr marL="0" marR="0">
            <a:spcBef>
              <a:spcPts val="1200"/>
            </a:spcBef>
            <a:spcAft>
              <a:spcPts val="1200"/>
            </a:spcAft>
          </a:pPr>
          <a:r>
            <a:rPr lang="en-US" sz="1100">
              <a:effectLst/>
              <a:latin typeface="Times New Roman" panose="02020603050405020304" pitchFamily="18" charset="0"/>
              <a:ea typeface="MS Mincho"/>
            </a:rPr>
            <a:t>If SEA staff have any questions about using the Calculator, please contact CIFR Community of Practice technical assistance providers, or contact CIFR at </a:t>
          </a:r>
          <a:r>
            <a:rPr lang="en-US" sz="1100" u="sng">
              <a:solidFill>
                <a:srgbClr val="0000FF"/>
              </a:solidFill>
              <a:effectLst/>
              <a:latin typeface="Times New Roman" panose="02020603050405020304" pitchFamily="18" charset="0"/>
              <a:ea typeface="MS Mincho"/>
              <a:hlinkClick xmlns:r="http://schemas.openxmlformats.org/officeDocument/2006/relationships" r:id=""/>
            </a:rPr>
            <a:t>cifr_info@wested.org</a:t>
          </a:r>
          <a:r>
            <a:rPr lang="en-US" sz="1100">
              <a:effectLst/>
              <a:latin typeface="Times New Roman" panose="02020603050405020304" pitchFamily="18" charset="0"/>
              <a:ea typeface="MS Mincho"/>
            </a:rPr>
            <a:t>. LEAs are encouraged to contact their SEA for assistance.</a:t>
          </a:r>
        </a:p>
        <a:p>
          <a:pPr marL="0" marR="0">
            <a:spcBef>
              <a:spcPts val="1200"/>
            </a:spcBef>
            <a:spcAft>
              <a:spcPts val="1200"/>
            </a:spcAft>
          </a:pPr>
          <a:r>
            <a:rPr lang="en-US" sz="1100">
              <a:effectLst/>
              <a:latin typeface="Times New Roman" panose="02020603050405020304" pitchFamily="18" charset="0"/>
              <a:ea typeface="MS Mincho"/>
            </a:rPr>
            <a:t>CIFR makes the LEA MOE Calculator available to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a:t>
          </a:r>
        </a:p>
        <a:p>
          <a:pPr marL="0" marR="0">
            <a:spcBef>
              <a:spcPts val="0"/>
            </a:spcBef>
            <a:spcAft>
              <a:spcPts val="0"/>
            </a:spcAft>
          </a:pPr>
          <a:r>
            <a:rPr lang="en-US" sz="14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General Instructions</a:t>
          </a:r>
        </a:p>
        <a:p>
          <a:pPr marL="0" marR="0">
            <a:spcBef>
              <a:spcPts val="1200"/>
            </a:spcBef>
            <a:spcAft>
              <a:spcPts val="1200"/>
            </a:spcAft>
          </a:pPr>
          <a:r>
            <a:rPr lang="en-US" sz="1100">
              <a:effectLst/>
              <a:latin typeface="Times New Roman" panose="02020603050405020304" pitchFamily="18" charset="0"/>
              <a:ea typeface="MS Mincho"/>
            </a:rPr>
            <a:t>The Calculator allows users to enter data for multiple years, from FY 2010–11 through 2019–20. For the Calculator to function optimally, users should enter data going back to the last year that the LEA met MOE for each of the four methods used. For one method, it might be FY 2014–15 data; for another method, it might be FY 2010–11 data. Users should also enter data for any intervening years. When using this Calculator for the first time, we recommend having access to historical MOE results, exceptions and adjustment data, and current budget data. For years prior to 2015–16, this historical information is entered on the </a:t>
          </a:r>
          <a:r>
            <a:rPr lang="en-US" sz="1100" i="1">
              <a:effectLst/>
              <a:latin typeface="Times New Roman" panose="02020603050405020304" pitchFamily="18" charset="0"/>
              <a:ea typeface="MS Mincho"/>
            </a:rPr>
            <a:t>Multi-Year MOE Summary </a:t>
          </a:r>
          <a:r>
            <a:rPr lang="en-US" sz="1100">
              <a:effectLst/>
              <a:latin typeface="Times New Roman" panose="02020603050405020304" pitchFamily="18" charset="0"/>
              <a:ea typeface="MS Mincho"/>
            </a:rPr>
            <a:t>worksheet. For later years, this information is entered in a more detailed format on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worksheets.  </a:t>
          </a:r>
        </a:p>
        <a:p>
          <a:pPr marL="0" marR="0">
            <a:spcBef>
              <a:spcPts val="1200"/>
            </a:spcBef>
            <a:spcAft>
              <a:spcPts val="1200"/>
            </a:spcAft>
          </a:pPr>
          <a:r>
            <a:rPr lang="en-US" sz="1100">
              <a:effectLst/>
              <a:latin typeface="Times New Roman" panose="02020603050405020304" pitchFamily="18" charset="0"/>
              <a:ea typeface="MS Mincho"/>
            </a:rPr>
            <a:t>There are 24 color-coded worksheets, or tabs, in the workbook:</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Title Page</a:t>
          </a:r>
          <a:r>
            <a:rPr lang="en-US" sz="1100">
              <a:effectLst/>
              <a:latin typeface="Times New Roman" panose="02020603050405020304" pitchFamily="18" charset="0"/>
              <a:ea typeface="Times New Roman" panose="02020603050405020304" pitchFamily="18" charset="0"/>
            </a:rPr>
            <a:t> (Tab 1, purple).</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Instructions</a:t>
          </a:r>
          <a:r>
            <a:rPr lang="en-US" sz="1100">
              <a:effectLst/>
              <a:latin typeface="Times New Roman" panose="02020603050405020304" pitchFamily="18" charset="0"/>
              <a:ea typeface="Times New Roman" panose="02020603050405020304" pitchFamily="18" charset="0"/>
            </a:rPr>
            <a:t> (Tab 2, purple). A PDF version of the instructions is available for download and printing with the Calculator on CIFR’s website and is included in the .zip file when a user downloads the Calculator. </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Getting Started</a:t>
          </a:r>
          <a:r>
            <a:rPr lang="en-US" sz="1100">
              <a:effectLst/>
              <a:latin typeface="Times New Roman" panose="02020603050405020304" pitchFamily="18" charset="0"/>
              <a:ea typeface="Times New Roman" panose="02020603050405020304" pitchFamily="18" charset="0"/>
            </a:rPr>
            <a:t> (Tab 3, purple) is a worksheet for entering basic information.</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Multi-Year MOE Summary</a:t>
          </a:r>
          <a:r>
            <a:rPr lang="en-US" sz="1100">
              <a:effectLst/>
              <a:latin typeface="Times New Roman" panose="02020603050405020304" pitchFamily="18" charset="0"/>
              <a:ea typeface="Times New Roman" panose="02020603050405020304" pitchFamily="18" charset="0"/>
            </a:rPr>
            <a:t> (Tab 4, purple) contains the table showing whether the LEA met LEA MOE for past and current years. </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Five </a:t>
          </a:r>
          <a:r>
            <a:rPr lang="en-US" sz="1100" i="1">
              <a:effectLst/>
              <a:latin typeface="Times New Roman" panose="02020603050405020304" pitchFamily="18" charset="0"/>
              <a:ea typeface="Times New Roman" panose="02020603050405020304" pitchFamily="18" charset="0"/>
            </a:rPr>
            <a:t>Amounts</a:t>
          </a:r>
          <a:r>
            <a:rPr lang="en-US" sz="1100">
              <a:effectLst/>
              <a:latin typeface="Times New Roman" panose="02020603050405020304" pitchFamily="18" charset="0"/>
              <a:ea typeface="Times New Roman" panose="02020603050405020304" pitchFamily="18" charset="0"/>
            </a:rPr>
            <a:t> worksheets (Tabs 5, 8, 11, 14, and 17, red) are for users to enter budget and expenditure amounts for FYs 2015–16 through 2019–20.</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Five </a:t>
          </a:r>
          <a:r>
            <a:rPr lang="en-US" sz="1100" i="1">
              <a:effectLst/>
              <a:latin typeface="Times New Roman" panose="02020603050405020304" pitchFamily="18" charset="0"/>
              <a:ea typeface="Times New Roman" panose="02020603050405020304" pitchFamily="18" charset="0"/>
            </a:rPr>
            <a:t>MOE</a:t>
          </a:r>
          <a:r>
            <a:rPr lang="en-US" sz="1100">
              <a:effectLst/>
              <a:latin typeface="Times New Roman" panose="02020603050405020304" pitchFamily="18" charset="0"/>
              <a:ea typeface="Times New Roman" panose="02020603050405020304" pitchFamily="18" charset="0"/>
            </a:rPr>
            <a:t> worksheets (Tabs 6, 9, 12, 15, and 18, blue) that summarize the LEA MOE calculations for each method, for each year.</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Nine </a:t>
          </a:r>
          <a:r>
            <a:rPr lang="en-US" sz="1100" i="1">
              <a:effectLst/>
              <a:latin typeface="Times New Roman" panose="02020603050405020304" pitchFamily="18" charset="0"/>
              <a:ea typeface="Times New Roman" panose="02020603050405020304" pitchFamily="18" charset="0"/>
            </a:rPr>
            <a:t>Exc &amp; Adj</a:t>
          </a:r>
          <a:r>
            <a:rPr lang="en-US" sz="1100">
              <a:effectLst/>
              <a:latin typeface="Times New Roman" panose="02020603050405020304" pitchFamily="18" charset="0"/>
              <a:ea typeface="Times New Roman" panose="02020603050405020304" pitchFamily="18" charset="0"/>
            </a:rPr>
            <a:t> worksheets (Tabs 7, 10, 13, 16, and 19–23, orange) are for entering exceptions and adjustment data for each year from FY 2011–12 through 2019–20.</a:t>
          </a:r>
        </a:p>
        <a:p>
          <a:pPr marL="457200" marR="0" indent="-228600">
            <a:spcBef>
              <a:spcPts val="0"/>
            </a:spcBef>
            <a:spcAft>
              <a:spcPts val="0"/>
            </a:spcAft>
          </a:pPr>
          <a:r>
            <a:rPr lang="en-US" sz="1100" i="1">
              <a:effectLst/>
              <a:latin typeface="Times New Roman" panose="02020603050405020304" pitchFamily="18" charset="0"/>
              <a:ea typeface="Times New Roman" panose="02020603050405020304" pitchFamily="18" charset="0"/>
            </a:rPr>
            <a:t>LEA or SEA Worksheet</a:t>
          </a:r>
          <a:r>
            <a:rPr lang="en-US" sz="1100">
              <a:effectLst/>
              <a:latin typeface="Times New Roman" panose="02020603050405020304" pitchFamily="18" charset="0"/>
              <a:ea typeface="Times New Roman" panose="02020603050405020304" pitchFamily="18" charset="0"/>
            </a:rPr>
            <a:t> (Tab 24, green) is a blank worksheet for LEA or SEA use.</a:t>
          </a:r>
        </a:p>
        <a:p>
          <a:pPr marL="457200" marR="0">
            <a:spcBef>
              <a:spcPts val="0"/>
            </a:spcBef>
            <a:spcAft>
              <a:spcPts val="0"/>
            </a:spcAft>
          </a:pPr>
          <a:r>
            <a:rPr lang="en-US" sz="1100">
              <a:effectLst/>
              <a:latin typeface="Times New Roman" panose="02020603050405020304" pitchFamily="18" charset="0"/>
              <a:ea typeface="MS Mincho"/>
            </a:rPr>
            <a:t> </a:t>
          </a:r>
        </a:p>
        <a:p>
          <a:pPr marL="0" marR="0">
            <a:spcBef>
              <a:spcPts val="0"/>
            </a:spcBef>
            <a:spcAft>
              <a:spcPts val="0"/>
            </a:spcAft>
          </a:pPr>
          <a:r>
            <a:rPr lang="en-US" sz="1100">
              <a:effectLst/>
              <a:latin typeface="Times New Roman" panose="02020603050405020304" pitchFamily="18" charset="0"/>
              <a:ea typeface="MS Mincho"/>
            </a:rPr>
            <a:t>For FY 2015–16 to FY 2019–20, the worksheets are arranged by year.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for years prior to FY 2015–16 follow the yearly worksheets.</a:t>
          </a:r>
        </a:p>
        <a:p>
          <a:pPr marL="0" marR="0">
            <a:spcBef>
              <a:spcPts val="1200"/>
            </a:spcBef>
            <a:spcAft>
              <a:spcPts val="1200"/>
            </a:spcAft>
          </a:pPr>
          <a:r>
            <a:rPr lang="en-US" sz="1100" b="1">
              <a:effectLst/>
              <a:latin typeface="Times New Roman" panose="02020603050405020304" pitchFamily="18" charset="0"/>
              <a:ea typeface="MS Mincho"/>
            </a:rPr>
            <a:t>Shaded cells are for data entry. Unshaded cells are headers or will calculate automatically. “Copying” and “pasting” is permitted in the Calculator, but the “cut” function is not advised as using it will decrease the functionality of the Calculator.</a:t>
          </a:r>
          <a:endParaRPr lang="en-US" sz="1100">
            <a:effectLst/>
            <a:latin typeface="Times New Roman" panose="02020603050405020304" pitchFamily="18" charset="0"/>
            <a:ea typeface="MS Mincho"/>
          </a:endParaRP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Getting Started</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3, Purple)</a:t>
          </a:r>
        </a:p>
        <a:p>
          <a:pPr marL="0" marR="0">
            <a:lnSpc>
              <a:spcPct val="107000"/>
            </a:lnSpc>
            <a:spcBef>
              <a:spcPts val="1200"/>
            </a:spcBef>
            <a:spcAft>
              <a:spcPts val="1200"/>
            </a:spcAft>
          </a:pPr>
          <a:r>
            <a:rPr lang="en-US" sz="1100">
              <a:effectLst/>
              <a:latin typeface="Times New Roman" panose="02020603050405020304" pitchFamily="18" charset="0"/>
              <a:ea typeface="MS Mincho"/>
            </a:rPr>
            <a:t>LEA name and ID (rows 2–3):</a:t>
          </a:r>
        </a:p>
        <a:p>
          <a:pPr marL="457200" marR="0" indent="-228600">
            <a:lnSpc>
              <a:spcPct val="107000"/>
            </a:lnSpc>
            <a:spcBef>
              <a:spcPts val="1200"/>
            </a:spcBef>
            <a:spcAft>
              <a:spcPts val="1200"/>
            </a:spcAft>
          </a:pPr>
          <a:r>
            <a:rPr lang="en-US" sz="1100">
              <a:effectLst/>
              <a:latin typeface="Times New Roman" panose="02020603050405020304" pitchFamily="18" charset="0"/>
              <a:ea typeface="Times New Roman" panose="02020603050405020304" pitchFamily="18" charset="0"/>
            </a:rPr>
            <a:t>Enter the LEA name and ID.  The LEA name will populate on subsequent tabs, but it is not used in the tool’s calculations. </a:t>
          </a:r>
        </a:p>
        <a:p>
          <a:pPr marL="0" marR="0">
            <a:lnSpc>
              <a:spcPct val="107000"/>
            </a:lnSpc>
            <a:spcBef>
              <a:spcPts val="1200"/>
            </a:spcBef>
            <a:spcAft>
              <a:spcPts val="1200"/>
            </a:spcAft>
          </a:pPr>
          <a:r>
            <a:rPr lang="en-US" sz="1100">
              <a:effectLst/>
              <a:latin typeface="Times New Roman" panose="02020603050405020304" pitchFamily="18" charset="0"/>
              <a:ea typeface="MS Mincho"/>
            </a:rPr>
            <a:t>State fiscal year (rows 4–5):</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the start and end dates for the state fiscal year (month and day). This information is for reference and is not used in the tool’s calculations.</a:t>
          </a:r>
        </a:p>
        <a:p>
          <a:pPr marL="0" marR="0">
            <a:lnSpc>
              <a:spcPct val="107000"/>
            </a:lnSpc>
            <a:spcBef>
              <a:spcPts val="1200"/>
            </a:spcBef>
            <a:spcAft>
              <a:spcPts val="1200"/>
            </a:spcAft>
          </a:pPr>
          <a:r>
            <a:rPr lang="en-US" sz="1100">
              <a:effectLst/>
              <a:latin typeface="Times New Roman" panose="02020603050405020304" pitchFamily="18" charset="0"/>
              <a:ea typeface="MS Mincho"/>
            </a:rPr>
            <a:t>State and local funds (row 6):</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Select (Yes/No) to indicate whether the LEA is able to separately account for the expenditure of local funds and state funds from 2010–11 to the present year. If not able to do this local/state separation for each year, the LEA will not be able to use the local funds test methods to demonstrate it has met LEA MOE requirements (i.e., all “Local” columns in the other worksheets will be unavailable), and the LEA will have to enter all amounts into the “State” columns throughout all the relevant worksheets. </a:t>
          </a:r>
        </a:p>
        <a:p>
          <a:pPr marL="0" marR="0">
            <a:spcBef>
              <a:spcPts val="1200"/>
            </a:spcBef>
            <a:spcAft>
              <a:spcPts val="1200"/>
            </a:spcAft>
          </a:pPr>
          <a:r>
            <a:rPr lang="en-US" sz="1100">
              <a:effectLst/>
              <a:latin typeface="Times New Roman" panose="02020603050405020304" pitchFamily="18" charset="0"/>
              <a:ea typeface="MS Mincho"/>
            </a:rPr>
            <a:t>Automatic calculation (row 7):</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Select (Yes/No) to indicate whether you opt to have the Calculator automatically calculate Exception 34 CFR § 300.204(b), which is a decrease </a:t>
          </a:r>
          <a:r>
            <a:rPr lang="en-US" sz="1100">
              <a:effectLst/>
              <a:latin typeface="Times New Roman" panose="02020603050405020304" pitchFamily="18" charset="0"/>
              <a:ea typeface="Times New Roman" panose="02020603050405020304" pitchFamily="18" charset="0"/>
            </a:rPr>
            <a:t>in the enrollment of children with disabilities</a:t>
          </a:r>
          <a:r>
            <a:rPr lang="en-US" sz="1100">
              <a:effectLst/>
              <a:latin typeface="Times New Roman" panose="02020603050405020304" pitchFamily="18" charset="0"/>
              <a:ea typeface="MS Mincho"/>
            </a:rPr>
            <a:t>. If you choose “Yes,” the Calculator will use a method approved by OSEP for the calculation of Exception (b). If you choose “No,” you must use a method allowed by your SEA that is justifiable and consistent with IDEA regulations.</a:t>
          </a:r>
        </a:p>
        <a:p>
          <a:pPr marL="0" marR="0">
            <a:lnSpc>
              <a:spcPct val="107000"/>
            </a:lnSpc>
            <a:spcBef>
              <a:spcPts val="1200"/>
            </a:spcBef>
            <a:spcAft>
              <a:spcPts val="1200"/>
            </a:spcAft>
          </a:pPr>
          <a:r>
            <a:rPr lang="en-US" sz="1100">
              <a:effectLst/>
              <a:latin typeface="Times New Roman" panose="02020603050405020304" pitchFamily="18" charset="0"/>
              <a:ea typeface="MS Mincho"/>
            </a:rPr>
            <a:t>High cost fund (rows 9–17):</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For each year in rows 9–17 of the Calculator, select “Yes” if the SEA operates a high cost fund under §300.704(c). The default is “No.” We recommend that LEA users contact their state to determine if the high cost fund is funded with federal dollars and is explicitly operated under §300.704(c).</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Multi-Year MOE Summary</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4, Purple)</a:t>
          </a:r>
        </a:p>
        <a:p>
          <a:pPr marL="0" marR="0">
            <a:spcBef>
              <a:spcPts val="1200"/>
            </a:spcBef>
            <a:spcAft>
              <a:spcPts val="1200"/>
            </a:spcAft>
          </a:pPr>
          <a:r>
            <a:rPr lang="en-US" sz="1100">
              <a:effectLst/>
              <a:latin typeface="Times New Roman" panose="02020603050405020304" pitchFamily="18" charset="0"/>
              <a:ea typeface="MS Mincho"/>
            </a:rPr>
            <a:t>This sheet is a summary of the LEA’s MOE determinations from FYs 2010–11 through 2019–20.</a:t>
          </a:r>
        </a:p>
        <a:p>
          <a:pPr marL="0" marR="0">
            <a:spcBef>
              <a:spcPts val="1200"/>
            </a:spcBef>
            <a:spcAft>
              <a:spcPts val="1200"/>
            </a:spcAft>
          </a:pPr>
          <a:r>
            <a:rPr lang="en-US" sz="1100">
              <a:effectLst/>
              <a:latin typeface="Times New Roman" panose="02020603050405020304" pitchFamily="18" charset="0"/>
              <a:ea typeface="MS Mincho"/>
            </a:rPr>
            <a:t>FY 2010–11 is the baseline year for LEA MOE calculations established by the U.S. Department of Education, Office of Special Education Programs (OSEP), meaning that an LEA is assumed to have met MOE by all four methods in FY 2010–11. When an LEA meets the LEA MOE compliance standard by one of the four methods for any year after FY 2010–11, that year becomes the baseline year for that method.</a:t>
          </a:r>
        </a:p>
        <a:p>
          <a:pPr marL="0" marR="0">
            <a:spcBef>
              <a:spcPts val="1200"/>
            </a:spcBef>
            <a:spcAft>
              <a:spcPts val="1200"/>
            </a:spcAft>
          </a:pPr>
          <a:r>
            <a:rPr lang="en-US" sz="1100">
              <a:effectLst/>
              <a:latin typeface="Times New Roman" panose="02020603050405020304" pitchFamily="18" charset="0"/>
              <a:ea typeface="MS Mincho"/>
            </a:rPr>
            <a:t>However, an LEA may not have historical decisions available for every year from FYs 2010–11 through 2014–15. At a minimum, data must be entered for each method for at least one year prior to FY 2015–16 in which the LEA met MOE by that respective method and for each subsequent year. The year met may be different for each method.</a:t>
          </a:r>
        </a:p>
        <a:p>
          <a:pPr marL="0" marR="0">
            <a:spcBef>
              <a:spcPts val="1200"/>
            </a:spcBef>
            <a:spcAft>
              <a:spcPts val="1200"/>
            </a:spcAft>
          </a:pPr>
          <a:r>
            <a:rPr lang="en-US" sz="1100">
              <a:effectLst/>
              <a:latin typeface="Times New Roman" panose="02020603050405020304" pitchFamily="18" charset="0"/>
              <a:ea typeface="MS Mincho"/>
            </a:rPr>
            <a:t>Enter available data in the shaded cells for FYs 2010–11 through 2014–15. Information for FYs 2015–16 to 2019–20 will be auto-filled based on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 </a:t>
          </a:r>
          <a:r>
            <a:rPr lang="en-US" sz="1100">
              <a:effectLst/>
              <a:latin typeface="Times New Roman" panose="02020603050405020304" pitchFamily="18" charset="0"/>
              <a:ea typeface="MS Mincho"/>
            </a:rPr>
            <a:t>worksheets.</a:t>
          </a:r>
        </a:p>
        <a:p>
          <a:pPr marL="0" marR="0">
            <a:spcBef>
              <a:spcPts val="1200"/>
            </a:spcBef>
            <a:spcAft>
              <a:spcPts val="1200"/>
            </a:spcAft>
          </a:pPr>
          <a:r>
            <a:rPr lang="en-US" sz="1100">
              <a:effectLst/>
              <a:latin typeface="Times New Roman" panose="02020603050405020304" pitchFamily="18" charset="0"/>
              <a:ea typeface="MS Mincho"/>
            </a:rPr>
            <a:t>Amounts entered in the columns for IDEA Part B section 611 and section 619 subgrant for FYs 2015–16 through 2019–20 will be used to calculate a total IDEA Part B subgrant. This total is needed to calculate the amount the SEA is responsible for repaying to the U.S. Department of Education (and may require an LEA to repay), in case of  LEA MOE failure.</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lnSpc>
              <a:spcPct val="107000"/>
            </a:lnSpc>
            <a:spcBef>
              <a:spcPts val="1200"/>
            </a:spcBef>
            <a:spcAft>
              <a:spcPts val="1200"/>
            </a:spcAft>
          </a:pPr>
          <a:r>
            <a:rPr lang="en-US" sz="1100">
              <a:effectLst/>
              <a:latin typeface="Times New Roman" panose="02020603050405020304" pitchFamily="18" charset="0"/>
              <a:ea typeface="MS Mincho"/>
            </a:rPr>
            <a:t>In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 the Standard column (column B) is set to the Compliance (Expenditures) standard for FYs 2010–11 to 2015–16. For all future years, the worksheet defaults to the Eligibility (Budget) standard. To change the standard that is being monitored in FYs 2015–16 to 2019–20, go to the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worksheet for each of these respective years and select either Eligibility or Compliance in row 1, column B. </a:t>
          </a:r>
        </a:p>
        <a:p>
          <a:pPr marL="0" marR="0">
            <a:lnSpc>
              <a:spcPct val="107000"/>
            </a:lnSpc>
            <a:spcBef>
              <a:spcPts val="1200"/>
            </a:spcBef>
            <a:spcAft>
              <a:spcPts val="1200"/>
            </a:spcAft>
          </a:pPr>
          <a:r>
            <a:rPr lang="en-US" sz="1100">
              <a:effectLst/>
              <a:latin typeface="Times New Roman" panose="02020603050405020304" pitchFamily="18" charset="0"/>
              <a:ea typeface="MS Mincho"/>
            </a:rPr>
            <a:t>Enter historical data for FYs 2010–11 to 2014–15, as needed, to include the most recent year when MOE was met for each method (columns C–K, rows 3–7):</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Child Count (column C), enter the child count of students with disabilities for each year (as defined by 34 CFR 300.101–300.102). The numbers entered here will be used to automatically calculate the per capita amounts in columns H and J.</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Local Total Amount, and State and Local Total Amount (columns D and F, respectively), enter the LEA’s final expenditure amounts for each fiscal year. </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Per capita amounts in columns H and J will automatically calculate.</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For each method and year (in columns E, G, I and K), select an MOE Compliance Result: “Met,” “Met with Exceptions or Adjustments,” or “Did Not Meet.” Note: For FY 2010–11, all methods are preset to “Met” since this is the baseline year.</a:t>
          </a:r>
        </a:p>
        <a:p>
          <a:pPr marL="0" marR="0">
            <a:lnSpc>
              <a:spcPct val="107000"/>
            </a:lnSpc>
            <a:spcBef>
              <a:spcPts val="1200"/>
            </a:spcBef>
            <a:spcAft>
              <a:spcPts val="1200"/>
            </a:spcAft>
          </a:pPr>
          <a:r>
            <a:rPr lang="en-US" sz="1100">
              <a:effectLst/>
              <a:latin typeface="Times New Roman" panose="02020603050405020304" pitchFamily="18" charset="0"/>
              <a:ea typeface="MS Mincho"/>
            </a:rPr>
            <a:t>The worksheet will automatically calculate the above information for FYs 2015–16 through 2019–20 in columns C–K, rows 8–12, based on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for those respective years. </a:t>
          </a:r>
        </a:p>
        <a:p>
          <a:pPr marL="0" marR="0">
            <a:lnSpc>
              <a:spcPct val="107000"/>
            </a:lnSpc>
            <a:spcBef>
              <a:spcPts val="1200"/>
            </a:spcBef>
            <a:spcAft>
              <a:spcPts val="1200"/>
            </a:spcAft>
          </a:pPr>
          <a:r>
            <a:rPr lang="en-US" sz="1100">
              <a:effectLst/>
              <a:latin typeface="Times New Roman" panose="02020603050405020304" pitchFamily="18" charset="0"/>
              <a:ea typeface="MS Mincho"/>
            </a:rPr>
            <a:t>In addition, the Calculator enables users to collect and track information needed by the SEA to meet its reporting requirements including Subgrant and Repayment Amounts for FYs 2015–16 through 2019–20, as needed (columns L–Q, rows 8–12). </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Amount of IDEA Part B, Section 611 and Section 619 Subgrant (columns L and M, respectively), enter the amounts of the section 611 and section 619 subgrants to the LEA.</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Total IDEA Part B Subgrant (column N) will automatically calculate the sum of the amounts entered in columns L and M.</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Repayment Amount (column O), using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and summarized in the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worksheet, will calculate the amount to be repaid, which is: (a) the least of the amounts by which the LEA failed to maintain its level of expenditures by each of the four tests, or (b) the total amount of the LEA’s Part B Subgrant for that year — whichever is smaller. (Intermediary calculations of the shortfall for each method for each year are shown in columns V–X.)</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Date SEA/LEA Paid Amount (columns P and Q, respectively), enter the dates the SEA and/or LEA made repayments, if required.</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Amounts</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for FYs 2015–16 Through 2019–20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5, 8, 11, 14, and 17, Red)</a:t>
          </a:r>
        </a:p>
        <a:p>
          <a:pPr marL="0" marR="0">
            <a:spcBef>
              <a:spcPts val="1200"/>
            </a:spcBef>
            <a:spcAft>
              <a:spcPts val="1200"/>
            </a:spcAft>
          </a:pPr>
          <a:r>
            <a:rPr lang="en-US" sz="1100">
              <a:effectLst/>
              <a:latin typeface="Times New Roman" panose="02020603050405020304" pitchFamily="18" charset="0"/>
              <a:ea typeface="MS Mincho"/>
            </a:rPr>
            <a:t>These are the input sheets to record the LEA’s annual fiscal effort. Two identical tables are used to record budgeted amounts for the eligibility standard and final expenditure amounts for the compliance standard. Assuming you are using this tool for the first time to calculate the FY 2015–16 compliance standard, begin with the table on the right side (titled Compliance Standard – Fiscal Year 2015–2016 - LEA Effort - Final Expenditures) of the </a:t>
          </a:r>
          <a:r>
            <a:rPr lang="en-US" sz="1100" i="1">
              <a:effectLst/>
              <a:latin typeface="Times New Roman" panose="02020603050405020304" pitchFamily="18" charset="0"/>
              <a:ea typeface="MS Mincho"/>
            </a:rPr>
            <a:t>15–16 Amounts</a:t>
          </a:r>
          <a:r>
            <a:rPr lang="en-US" sz="1100">
              <a:effectLst/>
              <a:latin typeface="Times New Roman" panose="02020603050405020304" pitchFamily="18" charset="0"/>
              <a:ea typeface="MS Mincho"/>
            </a:rPr>
            <a:t> worksheet. If you are using the tool to calculate the eligibility or compliance standard for a year after 2015–16, begin in the appropriate </a:t>
          </a:r>
          <a:r>
            <a:rPr lang="en-US" sz="1100" i="1">
              <a:effectLst/>
              <a:latin typeface="Times New Roman" panose="02020603050405020304" pitchFamily="18" charset="0"/>
              <a:ea typeface="MS Mincho"/>
            </a:rPr>
            <a:t>Amounts </a:t>
          </a:r>
          <a:r>
            <a:rPr lang="en-US" sz="1100">
              <a:effectLst/>
              <a:latin typeface="Times New Roman" panose="02020603050405020304" pitchFamily="18" charset="0"/>
              <a:ea typeface="MS Mincho"/>
            </a:rPr>
            <a:t>worksheet, and work retroactively to document multiple years of MOE. Amounts may be copied and pasted from one table to the other if the amounts do not change. Do not use the cut function, as using it may cause errors in the data calculations.</a:t>
          </a:r>
        </a:p>
        <a:p>
          <a:pPr marL="0" marR="0">
            <a:spcBef>
              <a:spcPts val="1200"/>
            </a:spcBef>
            <a:spcAft>
              <a:spcPts val="1200"/>
            </a:spcAft>
          </a:pPr>
          <a:r>
            <a:rPr lang="en-US" sz="1100">
              <a:effectLst/>
              <a:latin typeface="Times New Roman" panose="02020603050405020304" pitchFamily="18" charset="0"/>
              <a:ea typeface="MS Mincho"/>
            </a:rPr>
            <a:t>Note that when entering data in the Eligibility Standard table, it is also necessary to enter the data for Eligibility for the previous year in the corresponding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 for that year in order for all automatic calculations to function properly.</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100">
              <a:effectLst/>
              <a:latin typeface="Times New Roman" panose="02020603050405020304" pitchFamily="18" charset="0"/>
              <a:ea typeface="MS Mincho"/>
            </a:rPr>
            <a:t>Child Count (row 1):</a:t>
          </a:r>
        </a:p>
        <a:p>
          <a:pPr marL="457200" marR="0" indent="-228600">
            <a:spcBef>
              <a:spcPts val="1200"/>
            </a:spcBef>
            <a:spcAft>
              <a:spcPts val="0"/>
            </a:spcAft>
          </a:pPr>
          <a:r>
            <a:rPr lang="en-US" sz="1100">
              <a:effectLst/>
              <a:latin typeface="Times New Roman" panose="02020603050405020304" pitchFamily="18" charset="0"/>
              <a:ea typeface="Times New Roman" panose="02020603050405020304" pitchFamily="18" charset="0"/>
            </a:rPr>
            <a:t>Enter the Projected (column B) or Actual (column I) special education </a:t>
          </a:r>
          <a:r>
            <a:rPr lang="en-US" sz="700">
              <a:effectLst/>
              <a:latin typeface="Times New Roman" panose="02020603050405020304" pitchFamily="18" charset="0"/>
              <a:ea typeface="MS Mincho"/>
            </a:rPr>
            <a:t>child count of children receiving services under IDEA.</a:t>
          </a:r>
          <a:r>
            <a:rPr lang="en-US" sz="1100">
              <a:effectLst/>
              <a:latin typeface="Times New Roman" panose="02020603050405020304" pitchFamily="18" charset="0"/>
              <a:ea typeface="Times New Roman" panose="02020603050405020304" pitchFamily="18" charset="0"/>
            </a:rPr>
            <a:t> These numbers will be used for all per capita calculations on the </a:t>
          </a:r>
          <a:r>
            <a:rPr lang="en-US" sz="1100" i="1">
              <a:effectLst/>
              <a:latin typeface="Times New Roman" panose="02020603050405020304" pitchFamily="18" charset="0"/>
              <a:ea typeface="Times New Roman" panose="02020603050405020304" pitchFamily="18" charset="0"/>
            </a:rPr>
            <a:t>Amounts</a:t>
          </a:r>
          <a:r>
            <a:rPr lang="en-US" sz="1100">
              <a:effectLst/>
              <a:latin typeface="Times New Roman" panose="02020603050405020304" pitchFamily="18" charset="0"/>
              <a:ea typeface="Times New Roman" panose="02020603050405020304" pitchFamily="18" charset="0"/>
            </a:rPr>
            <a:t>, </a:t>
          </a:r>
          <a:r>
            <a:rPr lang="en-US" sz="1100" i="1">
              <a:effectLst/>
              <a:latin typeface="Times New Roman" panose="02020603050405020304" pitchFamily="18" charset="0"/>
              <a:ea typeface="Times New Roman" panose="02020603050405020304" pitchFamily="18" charset="0"/>
            </a:rPr>
            <a:t>MOE</a:t>
          </a:r>
          <a:r>
            <a:rPr lang="en-US" sz="1100">
              <a:effectLst/>
              <a:latin typeface="Times New Roman" panose="02020603050405020304" pitchFamily="18" charset="0"/>
              <a:ea typeface="Times New Roman" panose="02020603050405020304" pitchFamily="18" charset="0"/>
            </a:rPr>
            <a:t>, and </a:t>
          </a:r>
          <a:r>
            <a:rPr lang="en-US" sz="1100" i="1">
              <a:effectLst/>
              <a:latin typeface="Times New Roman" panose="02020603050405020304" pitchFamily="18" charset="0"/>
              <a:ea typeface="Times New Roman" panose="02020603050405020304" pitchFamily="18" charset="0"/>
            </a:rPr>
            <a:t>Multi-Year Summary</a:t>
          </a:r>
          <a:r>
            <a:rPr lang="en-US" sz="1100">
              <a:effectLst/>
              <a:latin typeface="Times New Roman" panose="02020603050405020304" pitchFamily="18" charset="0"/>
              <a:ea typeface="Times New Roman" panose="02020603050405020304" pitchFamily="18" charset="0"/>
            </a:rPr>
            <a:t> worksheets, and for Exception (b): Decrease in enrollment on the </a:t>
          </a:r>
          <a:r>
            <a:rPr lang="en-US" sz="1100" i="1">
              <a:effectLst/>
              <a:latin typeface="Times New Roman" panose="02020603050405020304" pitchFamily="18" charset="0"/>
              <a:ea typeface="Times New Roman" panose="02020603050405020304" pitchFamily="18" charset="0"/>
            </a:rPr>
            <a:t>Exc &amp; Adj</a:t>
          </a:r>
          <a:r>
            <a:rPr lang="en-US" sz="1100">
              <a:effectLst/>
              <a:latin typeface="Times New Roman" panose="02020603050405020304" pitchFamily="18" charset="0"/>
              <a:ea typeface="Times New Roman" panose="02020603050405020304" pitchFamily="18" charset="0"/>
            </a:rPr>
            <a:t> and </a:t>
          </a:r>
          <a:r>
            <a:rPr lang="en-US" sz="1100" i="1">
              <a:effectLst/>
              <a:latin typeface="Times New Roman" panose="02020603050405020304" pitchFamily="18" charset="0"/>
              <a:ea typeface="Times New Roman" panose="02020603050405020304" pitchFamily="18" charset="0"/>
            </a:rPr>
            <a:t>MOE</a:t>
          </a:r>
          <a:r>
            <a:rPr lang="en-US" sz="1100">
              <a:effectLst/>
              <a:latin typeface="Times New Roman" panose="02020603050405020304" pitchFamily="18" charset="0"/>
              <a:ea typeface="Times New Roman" panose="02020603050405020304" pitchFamily="18" charset="0"/>
            </a:rPr>
            <a:t> worksheets.</a:t>
          </a:r>
        </a:p>
        <a:p>
          <a:pPr marL="0" marR="0">
            <a:spcBef>
              <a:spcPts val="1200"/>
            </a:spcBef>
            <a:spcAft>
              <a:spcPts val="1200"/>
            </a:spcAft>
          </a:pPr>
          <a:r>
            <a:rPr lang="en-US" sz="1100">
              <a:effectLst/>
              <a:latin typeface="Times New Roman" panose="02020603050405020304" pitchFamily="18" charset="0"/>
              <a:ea typeface="MS Mincho"/>
            </a:rPr>
            <a:t>Eligibility Standard (Budgeted Amounts) and Compliance Standard (Final Expenditures) Tables: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Note that if you indicated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that the LEA is unable to separate state and local funds, the local columns in these tables are not available for data entry. All funds must be entered into the State columns (E and/or L). If the SEA is completing this worksheet on behalf of its LEAs but cannot distinguish state from local funds, it must provide each LEA with the opportunity to demonstrate that it can meet MOE by any of the four methods, including the local-only methods. </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Under Object Description (columns A and H) and Code (columns B–C and I–J), enter available descriptions and codes for all local and state budget or expenditure items for the noted fiscal year. An Object Description describes the expenditure (e.g., teacher salaries and benefits, supplies, therapist contracts), and the Code references the billing code used by the LEA to track the funds. The headers for these columns are editable and can be customized based on the terminology used by your SEA or LEA. There are two Code columns to allow SEAs and LEAs flexibility in entering budget codes or other information.</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In the Local (column D) and State (column E) columns in the Eligibility Standard table and the Local (column K) and State (column L) columns in the Compliance Standard table, enter the corresponding budgeted amounts (columns D and E) and/or expended amounts (columns K and L) at the local (if possible) and state level for each object entered in column A or H. If an LEA cannot separately account for local and state funds, all funds should be entered in the State columns (columns E and L).</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 State and Local columns (columns F and M) are auto-calculated.</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 worksheet calculates Grand Totals (row 30) and Per Capita Amounts (row 31) for budgeted and expended amounts.</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MOE</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for FYs 2015–16 Through 2019–20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6, 9, 12, 15, and 18, Blue)</a:t>
          </a:r>
        </a:p>
        <a:p>
          <a:pPr marL="0" marR="0">
            <a:spcBef>
              <a:spcPts val="1200"/>
            </a:spcBef>
            <a:spcAft>
              <a:spcPts val="1200"/>
            </a:spcAft>
          </a:pPr>
          <a:r>
            <a:rPr lang="en-US" sz="1100">
              <a:effectLst/>
              <a:latin typeface="Times New Roman" panose="02020603050405020304" pitchFamily="18" charset="0"/>
              <a:ea typeface="MS Mincho"/>
            </a:rPr>
            <a:t>These worksheets draw on the information entered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to calculate whether the LEA MOE eligibility and compliance standards are met, and the difference between what has been budgeted or expended and what must be budgeted or expended to meet the standards, by each of the four methods.</a:t>
          </a:r>
        </a:p>
        <a:p>
          <a:pPr marL="0" marR="0">
            <a:spcBef>
              <a:spcPts val="0"/>
            </a:spcBef>
            <a:spcAft>
              <a:spcPts val="0"/>
            </a:spcAft>
          </a:pPr>
          <a:r>
            <a:rPr lang="en-US" sz="1100">
              <a:effectLst/>
              <a:latin typeface="Times New Roman" panose="02020603050405020304" pitchFamily="18" charset="0"/>
              <a:ea typeface="MS Mincho"/>
            </a:rPr>
            <a:t>The tables on these sheets should be completed for each method unless the user indicated on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that the LEA is unable to account separately for state and local funds, in which case the local methods (i.e., Method 1: Local Total and Method 3: Local Per Capita) for meeting the LEA MOE standards will not be displayed.</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100">
              <a:effectLst/>
              <a:latin typeface="Times New Roman" panose="02020603050405020304" pitchFamily="18" charset="0"/>
              <a:ea typeface="MS Mincho"/>
            </a:rPr>
            <a:t>Which standard do you want to measure? (row 1):</a:t>
          </a:r>
        </a:p>
        <a:p>
          <a:pPr marL="457200" marR="0" indent="-228600">
            <a:spcBef>
              <a:spcPts val="0"/>
            </a:spcBef>
            <a:spcAft>
              <a:spcPts val="0"/>
            </a:spcAft>
          </a:pPr>
          <a:r>
            <a:rPr lang="en-US" sz="1100">
              <a:effectLst/>
              <a:latin typeface="Times New Roman" panose="02020603050405020304" pitchFamily="18" charset="0"/>
              <a:ea typeface="Times New Roman" panose="02020603050405020304" pitchFamily="18" charset="0"/>
            </a:rPr>
            <a:t>Select whether the Compliance or Eligibility standard is being measured. Select Compliance if you have final expenditure data for that year.</a:t>
          </a:r>
        </a:p>
        <a:p>
          <a:pPr marL="0" marR="0">
            <a:lnSpc>
              <a:spcPct val="107000"/>
            </a:lnSpc>
            <a:spcBef>
              <a:spcPts val="1200"/>
            </a:spcBef>
            <a:spcAft>
              <a:spcPts val="1200"/>
            </a:spcAft>
          </a:pPr>
          <a:r>
            <a:rPr lang="en-US" sz="1100">
              <a:effectLst/>
              <a:latin typeface="Times New Roman" panose="02020603050405020304" pitchFamily="18" charset="0"/>
              <a:ea typeface="MS Mincho"/>
            </a:rPr>
            <a:t>Calculation tables (rows 3–11):</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 Calculation tables for each of the four methods are automatically filled and do not require user input.</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Comparison Year and Comparison Year Amount (rows 4 and 5) are determined by the most recent year in which the LEA met the LEA MOE compliance standard for each of the four methods. This information is obtained from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Row 6 displays total amounts from the Grand Totals and Per Capita Amounts rows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 for the correlating fiscal year.</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Based on the data entered in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and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and the comparison data in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an LEA MOE result will appear in the MOE Result columns (row 6 in columns C, G, K, and O). If LEA MOE is not met based on the comparison of the current year’s budget or expenditure amounts to the amounts from the last year when LEA MOE was met (reduced, as appropriate, by exceptions and/or an MOE adjustment), the Initial Difference row (row 7) will show the initial difference between the two amounts.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Rows 8–11 display Total Exceptions and Total Adjustment, along with Difference with Exceptions, and the Final Shortfall, based upon those exceptions and adjustment. LEA MOE Results are displayed in adjacent columns in rows 9 and 11. These values are calculated based on the Exceptions and Adjustment tables in rows 13–73. </a:t>
          </a:r>
        </a:p>
        <a:p>
          <a:pPr marL="0" marR="0">
            <a:spcBef>
              <a:spcPts val="1200"/>
            </a:spcBef>
            <a:spcAft>
              <a:spcPts val="1200"/>
            </a:spcAft>
          </a:pPr>
          <a:r>
            <a:rPr lang="en-US" sz="1100">
              <a:effectLst/>
              <a:latin typeface="Times New Roman" panose="02020603050405020304" pitchFamily="18" charset="0"/>
              <a:ea typeface="MS Mincho"/>
            </a:rPr>
            <a:t>Exceptions and Adjustment tables (rows 13–73):</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These tables summarize the exceptions and adjustment data entered on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sheets for the current year and for previous years, when applicable.</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Exceptions &amp; Adjustment (Exc &amp; Adj)</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for Current and Previous Years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7, 10, 13, 16, and 19–23, Orange)</a:t>
          </a:r>
        </a:p>
        <a:p>
          <a:pPr marL="0" marR="0">
            <a:spcBef>
              <a:spcPts val="1200"/>
            </a:spcBef>
            <a:spcAft>
              <a:spcPts val="1200"/>
            </a:spcAft>
          </a:pPr>
          <a:r>
            <a:rPr lang="en-US" sz="1100">
              <a:effectLst/>
              <a:latin typeface="Times New Roman" panose="02020603050405020304" pitchFamily="18" charset="0"/>
              <a:ea typeface="MS Mincho"/>
            </a:rPr>
            <a:t>When reporting an LEA’s MOE, enter information on any relevant qualifying MOE exceptions or adjustment in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which will auto-populate the correlating </a:t>
          </a:r>
          <a:r>
            <a:rPr lang="en-US" sz="1100" i="1">
              <a:effectLst/>
              <a:latin typeface="Times New Roman" panose="02020603050405020304" pitchFamily="18" charset="0"/>
              <a:ea typeface="MS Mincho"/>
            </a:rPr>
            <a:t>MOE</a:t>
          </a:r>
          <a:r>
            <a:rPr lang="en-US" sz="1100">
              <a:effectLst/>
              <a:latin typeface="Times New Roman" panose="02020603050405020304" pitchFamily="18" charset="0"/>
              <a:ea typeface="MS Mincho"/>
            </a:rPr>
            <a:t> worksheets.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provide places for an LEA to document the five exceptions permitted by 34 CFR §300.204 and the MOE adjustment permitted by 34 CFR §300.205. If an LEA does not meet MOE requirements based on its budgeted amounts (eligibility) or final expenditures (compliance), enter information in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to potentially meet MOE based on the exceptions or adjustment. Even an LEA that meets MOE by one or more methods should consider entering all exceptions and adjustment data, since this information may be helpful for future years to lower the amount needed to meet MOE.</a:t>
          </a:r>
        </a:p>
        <a:p>
          <a:pPr marL="0" marR="0">
            <a:spcBef>
              <a:spcPts val="1200"/>
            </a:spcBef>
            <a:spcAft>
              <a:spcPts val="1200"/>
            </a:spcAft>
          </a:pPr>
          <a:r>
            <a:rPr lang="en-US" sz="1100">
              <a:effectLst/>
              <a:latin typeface="Times New Roman" panose="02020603050405020304" pitchFamily="18" charset="0"/>
              <a:ea typeface="MS Mincho"/>
            </a:rPr>
            <a:t>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require only the final expenditure data for FYs 2011–12 through 2014–15. For those years, an LEA may simply enter summary information and total numbers and does not need to enter the same level of detail as for later years. For FYs 2015–16 through 2019–20, the tables are duplicated for budgeted or projected reductions (to meet the eligibility standard) and actual reductions taken, based on final expenditures (to meet the compliance standard).</a:t>
          </a:r>
        </a:p>
        <a:p>
          <a:pPr marL="0" marR="0">
            <a:spcBef>
              <a:spcPts val="1200"/>
            </a:spcBef>
            <a:spcAft>
              <a:spcPts val="1200"/>
            </a:spcAft>
          </a:pPr>
          <a:r>
            <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1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lnSpc>
              <a:spcPct val="107000"/>
            </a:lnSpc>
            <a:spcBef>
              <a:spcPts val="1200"/>
            </a:spcBef>
            <a:spcAft>
              <a:spcPts val="1200"/>
            </a:spcAft>
          </a:pPr>
          <a:r>
            <a:rPr lang="en-US" sz="1100">
              <a:effectLst/>
              <a:latin typeface="Times New Roman" panose="02020603050405020304" pitchFamily="18" charset="0"/>
              <a:ea typeface="MS Mincho"/>
            </a:rPr>
            <a:t>Note: In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for years 2015–16 and onwards, the data entry fields in the Eligibility Standard table and the Compliance Standard table are identical.</a:t>
          </a:r>
        </a:p>
        <a:p>
          <a:pPr marL="0" marR="0">
            <a:spcBef>
              <a:spcPts val="1200"/>
            </a:spcBef>
            <a:spcAft>
              <a:spcPts val="1200"/>
            </a:spcAft>
          </a:pPr>
          <a:r>
            <a:rPr lang="en-US" sz="1100">
              <a:effectLst/>
              <a:latin typeface="Times New Roman" panose="02020603050405020304" pitchFamily="18" charset="0"/>
              <a:ea typeface="MS Mincho"/>
            </a:rPr>
            <a:t>Exception 34 CFR § 300.204(a) [Voluntary departure] – The v</a:t>
          </a:r>
          <a:r>
            <a:rPr lang="en-US" sz="1100">
              <a:effectLst/>
              <a:latin typeface="Times New Roman" panose="02020603050405020304" pitchFamily="18" charset="0"/>
              <a:ea typeface="Times New Roman" panose="02020603050405020304" pitchFamily="18" charset="0"/>
            </a:rPr>
            <a:t>oluntary departure, by retirement or otherwise, or departure for just cause, of special education or related services personnel</a:t>
          </a:r>
          <a:r>
            <a:rPr lang="en-US" sz="1100">
              <a:effectLst/>
              <a:latin typeface="Times New Roman" panose="02020603050405020304" pitchFamily="18" charset="0"/>
              <a:ea typeface="MS Mincho"/>
            </a:rPr>
            <a:t>, rows 3–21:</a:t>
          </a:r>
          <a:r>
            <a:rPr lang="en-US" sz="1100" baseline="30000">
              <a:effectLst/>
              <a:latin typeface="Times New Roman" panose="02020603050405020304" pitchFamily="18" charset="0"/>
              <a:ea typeface="MS Mincho"/>
            </a:rPr>
            <a:t>1</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information about all departing personnel and replacement personnel, including amounts of salary and benefits paid from local, or state and local, funds.</a:t>
          </a:r>
        </a:p>
        <a:p>
          <a:pPr marL="0" marR="0">
            <a:spcBef>
              <a:spcPts val="1200"/>
            </a:spcBef>
            <a:spcAft>
              <a:spcPts val="1200"/>
            </a:spcAft>
          </a:pPr>
          <a:r>
            <a:rPr lang="en-US" sz="1100">
              <a:effectLst/>
              <a:latin typeface="Times New Roman" panose="02020603050405020304" pitchFamily="18" charset="0"/>
              <a:ea typeface="MS Mincho"/>
            </a:rPr>
            <a:t>Exception 34 CFR § 300.204(b) [Decrease in enrollment] – A decrease </a:t>
          </a:r>
          <a:r>
            <a:rPr lang="en-US" sz="1100">
              <a:effectLst/>
              <a:latin typeface="Times New Roman" panose="02020603050405020304" pitchFamily="18" charset="0"/>
              <a:ea typeface="Times New Roman" panose="02020603050405020304" pitchFamily="18" charset="0"/>
            </a:rPr>
            <a:t>in the enrollment of children with disabilities</a:t>
          </a:r>
          <a:r>
            <a:rPr lang="en-US" sz="1100">
              <a:effectLst/>
              <a:latin typeface="Times New Roman" panose="02020603050405020304" pitchFamily="18" charset="0"/>
              <a:ea typeface="MS Mincho"/>
            </a:rPr>
            <a:t>, rows 23–35:</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Option 1. If “No” was selected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to indicate the SEA or LEA would use its own method to calculate exception (b), enter the amounts for this exception in row 25, for each of the four methods (the per capita amount is not automatically calculated as it is elsewhere). The amounts must be based on a method that is allowed by the SEA and is justifiable and consistent with IDEA regulations.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Option 2. If “Yes” was selected in the </a:t>
          </a:r>
          <a:r>
            <a:rPr lang="en-US" sz="1100" i="1">
              <a:effectLst/>
              <a:latin typeface="Times New Roman" panose="02020603050405020304" pitchFamily="18" charset="0"/>
              <a:ea typeface="MS Mincho"/>
            </a:rPr>
            <a:t>Getting Started</a:t>
          </a:r>
          <a:r>
            <a:rPr lang="en-US" sz="1100">
              <a:effectLst/>
              <a:latin typeface="Times New Roman" panose="02020603050405020304" pitchFamily="18" charset="0"/>
              <a:ea typeface="MS Mincho"/>
            </a:rPr>
            <a:t> worksheet to indicate the SEA or LEA would not use its own method to calculate exception (b), the worksheet will auto-calculate the exception (b) amount based on the child count data entered in the </a:t>
          </a:r>
          <a:r>
            <a:rPr lang="en-US" sz="1100" i="1">
              <a:effectLst/>
              <a:latin typeface="Times New Roman" panose="02020603050405020304" pitchFamily="18" charset="0"/>
              <a:ea typeface="MS Mincho"/>
            </a:rPr>
            <a:t>Multi-Year MOE Summary </a:t>
          </a:r>
          <a:r>
            <a:rPr lang="en-US" sz="1100">
              <a:effectLst/>
              <a:latin typeface="Times New Roman" panose="02020603050405020304" pitchFamily="18" charset="0"/>
              <a:ea typeface="MS Mincho"/>
            </a:rPr>
            <a:t>and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worksheets. For this exception only, the worksheet shows how the exception applies differently to the Local (column B) and State and Local (column C) methods.</a:t>
          </a:r>
        </a:p>
        <a:p>
          <a:pPr marL="0" marR="0">
            <a:spcBef>
              <a:spcPts val="1200"/>
            </a:spcBef>
            <a:spcAft>
              <a:spcPts val="1200"/>
            </a:spcAft>
          </a:pPr>
          <a:r>
            <a:rPr lang="en-US" sz="1100">
              <a:effectLst/>
              <a:latin typeface="Times New Roman" panose="02020603050405020304" pitchFamily="18" charset="0"/>
              <a:ea typeface="MS Mincho"/>
            </a:rPr>
            <a:t>Exception 34 CFR </a:t>
          </a:r>
          <a:r>
            <a:rPr lang="en-US" sz="1100">
              <a:effectLst/>
              <a:latin typeface="Times New Roman" panose="02020603050405020304" pitchFamily="18" charset="0"/>
              <a:ea typeface="Calibri" panose="020F0502020204030204" pitchFamily="34" charset="0"/>
            </a:rPr>
            <a:t>§</a:t>
          </a:r>
          <a:r>
            <a:rPr lang="en-US" sz="1100">
              <a:effectLst/>
              <a:latin typeface="Times New Roman" panose="02020603050405020304" pitchFamily="18" charset="0"/>
              <a:ea typeface="MS Mincho"/>
            </a:rPr>
            <a:t> 300.204(c) [</a:t>
          </a:r>
          <a:r>
            <a:rPr lang="en-US" sz="1100">
              <a:effectLst/>
              <a:latin typeface="Times New Roman" panose="02020603050405020304" pitchFamily="18" charset="0"/>
              <a:ea typeface="Times New Roman" panose="02020603050405020304" pitchFamily="18" charset="0"/>
            </a:rPr>
            <a:t>Exceptionally costly program]</a:t>
          </a:r>
          <a:r>
            <a:rPr lang="en-US" sz="1100">
              <a:effectLst/>
              <a:latin typeface="Times New Roman" panose="02020603050405020304" pitchFamily="18" charset="0"/>
              <a:ea typeface="MS Mincho"/>
            </a:rPr>
            <a:t> – The </a:t>
          </a:r>
          <a:r>
            <a:rPr lang="en-US" sz="1100">
              <a:effectLst/>
              <a:latin typeface="Times New Roman" panose="02020603050405020304" pitchFamily="18" charset="0"/>
              <a:ea typeface="Times New Roman" panose="02020603050405020304" pitchFamily="18" charset="0"/>
            </a:rPr>
            <a:t>termination of the obligation of the agency, consistent with this part, to provide a program of special education to a particular child with a disability that is an exceptionally costly program, as determined by the SEA, because the child: (1) has left the jurisdiction of the agency; (2) has reached the age at which the obligation of the agency to provide free and appropriate education to the child has terminated; or (3) no longer needs the program of special education</a:t>
          </a:r>
          <a:r>
            <a:rPr lang="en-US" sz="1100">
              <a:effectLst/>
              <a:latin typeface="Times New Roman" panose="02020603050405020304" pitchFamily="18" charset="0"/>
              <a:ea typeface="MS Mincho"/>
            </a:rPr>
            <a:t>, rows 37–46:</a:t>
          </a:r>
        </a:p>
        <a:p>
          <a:pPr marL="342900" marR="0" lvl="0" indent="-342900">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a Student Identifier; the Reason for the termination of the obligation of the agency to provide special education; and local, or state and local, expenditures for each child with a disability requiring an exceptionally costly program.</a:t>
          </a:r>
        </a:p>
        <a:p>
          <a:pPr marL="0" marR="0">
            <a:lnSpc>
              <a:spcPct val="107000"/>
            </a:lnSpc>
            <a:spcBef>
              <a:spcPts val="1200"/>
            </a:spcBef>
            <a:spcAft>
              <a:spcPts val="1200"/>
            </a:spcAft>
          </a:pPr>
          <a:r>
            <a:rPr lang="en-US" sz="1100">
              <a:effectLst/>
              <a:latin typeface="Times New Roman" panose="02020603050405020304" pitchFamily="18" charset="0"/>
              <a:ea typeface="MS Mincho"/>
            </a:rPr>
            <a:t>Exception 34 CFR </a:t>
          </a:r>
          <a:r>
            <a:rPr lang="en-US" sz="1100">
              <a:effectLst/>
              <a:latin typeface="Times New Roman" panose="02020603050405020304" pitchFamily="18" charset="0"/>
              <a:ea typeface="Calibri" panose="020F0502020204030204" pitchFamily="34" charset="0"/>
            </a:rPr>
            <a:t>§</a:t>
          </a:r>
          <a:r>
            <a:rPr lang="en-US" sz="1100">
              <a:effectLst/>
              <a:latin typeface="Times New Roman" panose="02020603050405020304" pitchFamily="18" charset="0"/>
              <a:ea typeface="MS Mincho"/>
            </a:rPr>
            <a:t> 300.204(d) [Long-term purchases] – The termination of costly expenditures for long-term purchases, such as the acquisition of equipment or the construction of school facilities, rows 48–56:</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a description for each costly expenditure for a long-term purchase that has terminated, and provide local, or state and local, expenditures in the final year of purchase.</a:t>
          </a:r>
        </a:p>
        <a:p>
          <a:pPr marL="0" marR="0">
            <a:spcBef>
              <a:spcPts val="1200"/>
            </a:spcBef>
            <a:spcAft>
              <a:spcPts val="1200"/>
            </a:spcAft>
          </a:pPr>
          <a:r>
            <a:rPr lang="en-US" sz="1100">
              <a:effectLst/>
              <a:latin typeface="Times New Roman" panose="02020603050405020304" pitchFamily="18" charset="0"/>
              <a:ea typeface="MS Mincho"/>
            </a:rPr>
            <a:t>Exception 34 CFR </a:t>
          </a:r>
          <a:r>
            <a:rPr lang="en-US" sz="1100">
              <a:effectLst/>
              <a:latin typeface="Times New Roman" panose="02020603050405020304" pitchFamily="18" charset="0"/>
              <a:ea typeface="Calibri" panose="020F0502020204030204" pitchFamily="34" charset="0"/>
            </a:rPr>
            <a:t>§</a:t>
          </a:r>
          <a:r>
            <a:rPr lang="en-US" sz="1100">
              <a:effectLst/>
              <a:latin typeface="Times New Roman" panose="02020603050405020304" pitchFamily="18" charset="0"/>
              <a:ea typeface="MS Mincho"/>
            </a:rPr>
            <a:t> 300.204(e) [SEA high cost fund] – The assumption of cost by the high cost fund operated by the SEA under 34 CFR §300.704(c), rows 58–66:</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For each year for which the user selected “Yes” in the </a:t>
          </a:r>
          <a:r>
            <a:rPr lang="en-US" sz="1100" i="1">
              <a:effectLst/>
              <a:latin typeface="Times New Roman" panose="02020603050405020304" pitchFamily="18" charset="0"/>
              <a:ea typeface="Times New Roman" panose="02020603050405020304" pitchFamily="18" charset="0"/>
            </a:rPr>
            <a:t>Getting Started</a:t>
          </a:r>
          <a:r>
            <a:rPr lang="en-US" sz="1100">
              <a:effectLst/>
              <a:latin typeface="Times New Roman" panose="02020603050405020304" pitchFamily="18" charset="0"/>
              <a:ea typeface="Times New Roman" panose="02020603050405020304" pitchFamily="18" charset="0"/>
            </a:rPr>
            <a:t> worksheet to indicate that the SEA operated</a:t>
          </a:r>
          <a:r>
            <a:rPr lang="en-US" sz="1100">
              <a:solidFill>
                <a:srgbClr val="000000"/>
              </a:solidFill>
              <a:effectLst/>
              <a:latin typeface="Times New Roman" panose="02020603050405020304" pitchFamily="18" charset="0"/>
              <a:ea typeface="Times New Roman" panose="02020603050405020304" pitchFamily="18" charset="0"/>
            </a:rPr>
            <a:t> a high cost fund under §300.704(c), this exception will be available for data entry.</a:t>
          </a:r>
          <a:endParaRPr lang="en-US" sz="1100">
            <a:effectLst/>
            <a:latin typeface="Times New Roman" panose="02020603050405020304" pitchFamily="18" charset="0"/>
            <a:ea typeface="Times New Roman" panose="02020603050405020304" pitchFamily="18" charset="0"/>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Enter a student identifier and the total cost assumed by the SEA for each student for whom the SEA assumed (or is projected to assume) costs in a given year.</a:t>
          </a:r>
        </a:p>
        <a:p>
          <a:pPr marL="0" marR="0">
            <a:spcBef>
              <a:spcPts val="0"/>
            </a:spcBef>
            <a:spcAft>
              <a:spcPts val="0"/>
            </a:spcAft>
          </a:pPr>
          <a:r>
            <a:rPr lang="en-US" sz="1100">
              <a:effectLst/>
              <a:latin typeface="Times New Roman" panose="02020603050405020304" pitchFamily="18" charset="0"/>
              <a:ea typeface="MS Mincho"/>
            </a:rPr>
            <a:t>If the rows provided in these tables for the exceptions are not sufficient, include a summary in the provided rows (e.g., a total of Salary and Benefits for all departing personnel for exception (a) [Voluntary departure]) and maintain the appropriate additional documentation separately.</a:t>
          </a:r>
        </a:p>
        <a:p>
          <a:pPr marL="0" marR="0">
            <a:lnSpc>
              <a:spcPct val="107000"/>
            </a:lnSpc>
            <a:spcBef>
              <a:spcPts val="1200"/>
            </a:spcBef>
            <a:spcAft>
              <a:spcPts val="1200"/>
            </a:spcAft>
          </a:pPr>
          <a:r>
            <a:rPr lang="en-US" sz="1100">
              <a:effectLst/>
              <a:latin typeface="Times New Roman" panose="02020603050405020304" pitchFamily="18" charset="0"/>
              <a:ea typeface="MS Mincho"/>
            </a:rPr>
            <a:t>Adjustment, rows 68–70:</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If an LEA intends to take an MOE adjustment, use the </a:t>
          </a:r>
          <a:r>
            <a:rPr lang="en-US" sz="1100" i="1">
              <a:effectLst/>
              <a:latin typeface="Times New Roman" panose="02020603050405020304" pitchFamily="18" charset="0"/>
              <a:ea typeface="Times New Roman" panose="02020603050405020304" pitchFamily="18" charset="0"/>
            </a:rPr>
            <a:t>IDEA</a:t>
          </a:r>
          <a:r>
            <a:rPr lang="en-US" sz="1100">
              <a:effectLst/>
              <a:latin typeface="Times New Roman" panose="02020603050405020304" pitchFamily="18" charset="0"/>
              <a:ea typeface="Times New Roman" panose="02020603050405020304" pitchFamily="18" charset="0"/>
            </a:rPr>
            <a:t> Data Center’s MOE Reduction Eligibility Decision Tree (</a:t>
          </a:r>
          <a:r>
            <a:rPr lang="en-US" sz="1100" u="sng">
              <a:solidFill>
                <a:srgbClr val="0000FF"/>
              </a:solidFill>
              <a:effectLst/>
              <a:latin typeface="Times New Roman" panose="02020603050405020304" pitchFamily="18" charset="0"/>
              <a:ea typeface="Times New Roman" panose="02020603050405020304" pitchFamily="18" charset="0"/>
              <a:hlinkClick xmlns:r="http://schemas.openxmlformats.org/officeDocument/2006/relationships" r:id=""/>
            </a:rPr>
            <a:t>https://ideadata.org/resources/resource/1495/maintenance-of-effort-moe-reduction-eligibility-decision-tree</a:t>
          </a:r>
          <a:r>
            <a:rPr lang="en-US" sz="1100">
              <a:effectLst/>
              <a:latin typeface="Times New Roman" panose="02020603050405020304" pitchFamily="18" charset="0"/>
              <a:ea typeface="Times New Roman" panose="02020603050405020304" pitchFamily="18" charset="0"/>
            </a:rPr>
            <a:t>) and Worksheets (</a:t>
          </a:r>
          <a:r>
            <a:rPr lang="en-US" sz="1100" u="sng">
              <a:solidFill>
                <a:srgbClr val="0000FF"/>
              </a:solidFill>
              <a:effectLst/>
              <a:latin typeface="Times New Roman" panose="02020603050405020304" pitchFamily="18" charset="0"/>
              <a:ea typeface="Times New Roman" panose="02020603050405020304" pitchFamily="18" charset="0"/>
              <a:hlinkClick xmlns:r="http://schemas.openxmlformats.org/officeDocument/2006/relationships" r:id=""/>
            </a:rPr>
            <a:t>https://ideadata.org/resources/resource/1496/maintenance-of-effort-moe-reduction-eligibility-worksheets</a:t>
          </a:r>
          <a:r>
            <a:rPr lang="en-US" sz="1100">
              <a:effectLst/>
              <a:latin typeface="Times New Roman" panose="02020603050405020304" pitchFamily="18" charset="0"/>
              <a:ea typeface="Times New Roman" panose="02020603050405020304" pitchFamily="18" charset="0"/>
            </a:rPr>
            <a:t>) to determine if the LEA is eligible, and the amount available for an adjustment.</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Enter the amount, up to the total available adjustment, projected or taken in row 70.</a:t>
          </a:r>
          <a:br>
            <a:rPr lang="en-US" sz="1100">
              <a:effectLst/>
              <a:latin typeface="Times New Roman" panose="02020603050405020304" pitchFamily="18" charset="0"/>
              <a:ea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lvl="0" indent="0" defTabSz="914400" eaLnBrk="1" fontAlgn="auto" latinLnBrk="0" hangingPunct="1">
            <a:lnSpc>
              <a:spcPct val="100000"/>
            </a:lnSpc>
            <a:spcBef>
              <a:spcPts val="1200"/>
            </a:spcBef>
            <a:spcAft>
              <a:spcPts val="1200"/>
            </a:spcAft>
            <a:buClrTx/>
            <a:buSzTx/>
            <a:buFontTx/>
            <a:buNone/>
            <a:tabLst/>
            <a:defRPr/>
          </a:pP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 </a:t>
          </a:r>
          <a:r>
            <a:rPr kumimoji="0" lang="en-US" sz="1100" b="0" i="0" u="none" strike="noStrike" kern="0" cap="none" spc="0" normalizeH="0" baseline="30000" noProof="0">
              <a:ln>
                <a:noFill/>
              </a:ln>
              <a:solidFill>
                <a:prstClr val="black"/>
              </a:solidFill>
              <a:effectLst/>
              <a:uLnTx/>
              <a:uFillTx/>
              <a:latin typeface="Times New Roman" panose="02020603050405020304" pitchFamily="18" charset="0"/>
              <a:ea typeface="MS Mincho"/>
              <a:cs typeface="+mn-cs"/>
            </a:rPr>
            <a:t>1</a:t>
          </a:r>
          <a:r>
            <a:rPr kumimoji="0" lang="en-US" sz="900" b="0" i="0"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The row numbers for the </a:t>
          </a:r>
          <a:r>
            <a:rPr kumimoji="0" lang="en-US" sz="900" b="0" i="1"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Exc &amp; Adj</a:t>
          </a:r>
          <a:r>
            <a:rPr kumimoji="0" lang="en-US" sz="900" b="0" i="0" u="none" strike="noStrike" kern="0" cap="none" spc="0" normalizeH="0" baseline="0" noProof="0">
              <a:ln>
                <a:noFill/>
              </a:ln>
              <a:solidFill>
                <a:prstClr val="black"/>
              </a:solidFill>
              <a:effectLst/>
              <a:uLnTx/>
              <a:uFillTx/>
              <a:latin typeface="Times New Roman" panose="02020603050405020304" pitchFamily="18" charset="0"/>
              <a:ea typeface="MS Mincho"/>
              <a:cs typeface="+mn-cs"/>
            </a:rPr>
            <a:t> worksheets apply to FYs 2015–16 and later. In earlier years, because no eligibility table is needed, all row numbers are one lower.</a:t>
          </a:r>
        </a:p>
        <a:p>
          <a:pPr marL="0" marR="0">
            <a:spcBef>
              <a:spcPts val="1200"/>
            </a:spcBef>
            <a:spcAft>
              <a:spcPts val="1200"/>
            </a:spcAft>
          </a:pPr>
          <a:r>
            <a:rPr lang="en-US" sz="14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LEA or SEA Worksheet</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a:t>
          </a:r>
          <a:r>
            <a:rPr lang="en-US" sz="12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24, Green)</a:t>
          </a:r>
        </a:p>
        <a:p>
          <a:pPr marL="0" marR="0">
            <a:spcBef>
              <a:spcPts val="1200"/>
            </a:spcBef>
            <a:spcAft>
              <a:spcPts val="1200"/>
            </a:spcAft>
          </a:pPr>
          <a:r>
            <a:rPr lang="en-US" sz="1100">
              <a:effectLst/>
              <a:latin typeface="Times New Roman" panose="02020603050405020304" pitchFamily="18" charset="0"/>
              <a:ea typeface="MS Mincho"/>
            </a:rPr>
            <a:t>The final tab in the Calculator is a blank worksheet that the LEA or SEA can use as needed. Possible uses include:</a:t>
          </a:r>
        </a:p>
        <a:p>
          <a:pPr marL="457200" marR="0" indent="-228600">
            <a:lnSpc>
              <a:spcPct val="107000"/>
            </a:lnSpc>
            <a:spcBef>
              <a:spcPts val="0"/>
            </a:spcBef>
            <a:spcAft>
              <a:spcPts val="0"/>
            </a:spcAft>
          </a:pPr>
          <a:r>
            <a:rPr lang="en-US" sz="1100">
              <a:effectLst/>
              <a:latin typeface="Times New Roman" panose="02020603050405020304" pitchFamily="18" charset="0"/>
              <a:ea typeface="Times New Roman" panose="02020603050405020304" pitchFamily="18" charset="0"/>
            </a:rPr>
            <a:t>Notes related to the LEA MOE calculations</a:t>
          </a:r>
          <a:r>
            <a:rPr lang="en-US" sz="1100">
              <a:solidFill>
                <a:srgbClr val="000000"/>
              </a:solidFill>
              <a:effectLst/>
              <a:latin typeface="Times New Roman" panose="02020603050405020304" pitchFamily="18" charset="0"/>
              <a:ea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Calculations for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worksheets.</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Calculations for the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worksheets, including SEA or LEA calculations for Exception (b): Decrease in enrollment, if you choose not to have it auto-calculated.</a:t>
          </a: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100">
              <a:effectLst/>
              <a:latin typeface="Times New Roman" panose="02020603050405020304" pitchFamily="18" charset="0"/>
              <a:ea typeface="MS Mincho"/>
            </a:rPr>
            <a:t>Historical LEA MOE data (prior to FY 2015–16) for the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a:t>
          </a:r>
        </a:p>
        <a:p>
          <a:pPr marL="0" marR="0">
            <a:spcBef>
              <a:spcPts val="1200"/>
            </a:spcBef>
            <a:spcAft>
              <a:spcPts val="1200"/>
            </a:spcAft>
          </a:pPr>
          <a:r>
            <a:rPr lang="en-US" sz="1100">
              <a:effectLst/>
              <a:latin typeface="Times New Roman" panose="02020603050405020304" pitchFamily="18" charset="0"/>
              <a:ea typeface="MS Mincho"/>
            </a:rPr>
            <a:t>You can create a link to this worksheet in any shaded cell on the </a:t>
          </a:r>
          <a:r>
            <a:rPr lang="en-US" sz="1100" i="1">
              <a:effectLst/>
              <a:latin typeface="Times New Roman" panose="02020603050405020304" pitchFamily="18" charset="0"/>
              <a:ea typeface="MS Mincho"/>
            </a:rPr>
            <a:t>Amounts</a:t>
          </a:r>
          <a:r>
            <a:rPr lang="en-US" sz="1100">
              <a:effectLst/>
              <a:latin typeface="Times New Roman" panose="02020603050405020304" pitchFamily="18" charset="0"/>
              <a:ea typeface="MS Mincho"/>
            </a:rPr>
            <a:t>, </a:t>
          </a:r>
          <a:r>
            <a:rPr lang="en-US" sz="1100" i="1">
              <a:effectLst/>
              <a:latin typeface="Times New Roman" panose="02020603050405020304" pitchFamily="18" charset="0"/>
              <a:ea typeface="MS Mincho"/>
            </a:rPr>
            <a:t>Exc &amp; Adj</a:t>
          </a:r>
          <a:r>
            <a:rPr lang="en-US" sz="1100">
              <a:effectLst/>
              <a:latin typeface="Times New Roman" panose="02020603050405020304" pitchFamily="18" charset="0"/>
              <a:ea typeface="MS Mincho"/>
            </a:rPr>
            <a:t>, or </a:t>
          </a:r>
          <a:r>
            <a:rPr lang="en-US" sz="1100" i="1">
              <a:effectLst/>
              <a:latin typeface="Times New Roman" panose="02020603050405020304" pitchFamily="18" charset="0"/>
              <a:ea typeface="MS Mincho"/>
            </a:rPr>
            <a:t>Multi-Year MOE Summary</a:t>
          </a:r>
          <a:r>
            <a:rPr lang="en-US" sz="1100">
              <a:effectLst/>
              <a:latin typeface="Times New Roman" panose="02020603050405020304" pitchFamily="18" charset="0"/>
              <a:ea typeface="MS Mincho"/>
            </a:rPr>
            <a:t> worksheets.</a:t>
          </a:r>
        </a:p>
        <a:p>
          <a:pPr marL="0" marR="0">
            <a:spcBef>
              <a:spcPts val="1200"/>
            </a:spcBef>
            <a:spcAft>
              <a:spcPts val="1200"/>
            </a:spcAft>
          </a:pPr>
          <a:r>
            <a:rPr lang="en-US" sz="1100" b="1">
              <a:effectLst/>
              <a:latin typeface="Times New Roman" panose="02020603050405020304" pitchFamily="18" charset="0"/>
              <a:ea typeface="MS Mincho"/>
            </a:rPr>
            <a:t>Acknowledgments</a:t>
          </a:r>
          <a:endParaRPr lang="en-US" sz="1100">
            <a:effectLst/>
            <a:latin typeface="Times New Roman" panose="02020603050405020304" pitchFamily="18" charset="0"/>
            <a:ea typeface="MS Mincho"/>
          </a:endParaRPr>
        </a:p>
        <a:p>
          <a:pPr marL="0" marR="0">
            <a:spcBef>
              <a:spcPts val="1200"/>
            </a:spcBef>
            <a:spcAft>
              <a:spcPts val="1200"/>
            </a:spcAft>
          </a:pPr>
          <a:r>
            <a:rPr lang="en-US" sz="1100">
              <a:effectLst/>
              <a:latin typeface="Times New Roman" panose="02020603050405020304" pitchFamily="18" charset="0"/>
              <a:ea typeface="MS Mincho"/>
            </a:rPr>
            <a:t>Many CIFR staff contributed to this work. Sanay Abraham and Laura Johnson led the development team. Sara Doutre and Steven Smith were contributing authors. Tom Munk was lead reviewer and Sanjay Pardanani was production coordinator. CIFR co-directors Cecelia Dodge, Jenifer Harr-Robins, and Dave Phillips guided its development.</a:t>
          </a:r>
        </a:p>
        <a:p>
          <a:pPr marL="0" marR="0">
            <a:spcBef>
              <a:spcPts val="1200"/>
            </a:spcBef>
            <a:spcAft>
              <a:spcPts val="1200"/>
            </a:spcAft>
          </a:pPr>
          <a:r>
            <a:rPr lang="en-US" sz="1100">
              <a:effectLst/>
              <a:latin typeface="Times New Roman" panose="02020603050405020304" pitchFamily="18" charset="0"/>
              <a:ea typeface="MS Mincho"/>
            </a:rPr>
            <a:t>Suggested Citation: Center for IDEA Fiscal Reporting (2018), Local Educational Agency Maintenance of Effort Calculator v1.3 [Center for IDEA Fiscal Reporting]. San Francisco, CA: WestEd.</a:t>
          </a:r>
        </a:p>
      </xdr:txBody>
    </xdr:sp>
    <xdr:clientData/>
  </xdr:oneCellAnchor>
</xdr:wsDr>
</file>

<file path=xl/tables/table1.xml><?xml version="1.0" encoding="utf-8"?>
<table xmlns="http://schemas.openxmlformats.org/spreadsheetml/2006/main" id="13" name="GettingStarted" displayName="GettingStarted" ref="A1:B17" totalsRowShown="0" headerRowDxfId="2387" headerRowBorderDxfId="2386" tableBorderDxfId="2385" totalsRowBorderDxfId="2384">
  <tableColumns count="2">
    <tableColumn id="1" name="Enter the requested information below" dataDxfId="2383"/>
    <tableColumn id="2" name="Information" dataDxfId="2382" dataCellStyle="Currency"/>
  </tableColumns>
  <tableStyleInfo name="TableStyleMedium9" showFirstColumn="0" showLastColumn="0" showRowStripes="0" showColumnStripes="0"/>
  <extLst>
    <ext xmlns:x14="http://schemas.microsoft.com/office/spreadsheetml/2009/9/main" uri="{504A1905-F514-4f6f-8877-14C23A59335A}">
      <x14:table altText="Getting Started table" altTextSummary="In this table, the user will enter information for the state's fiscal year, designate whether the LEA can separately account for the budgeting and expenditure of local funds and state funds, designate whether they want the spreadsheet to calculate Exception (b) for them, and indicate whether they have a high cost fund for each year."/>
    </ext>
  </extLst>
</table>
</file>

<file path=xl/tables/table2.xml><?xml version="1.0" encoding="utf-8"?>
<table xmlns="http://schemas.openxmlformats.org/spreadsheetml/2006/main" id="1" name="MultiYearSummary" displayName="MultiYearSummary" ref="A2:Q12" totalsRowShown="0" headerRowDxfId="2372" dataDxfId="2370" headerRowBorderDxfId="2371" tableBorderDxfId="2369" totalsRowBorderDxfId="2368">
  <tableColumns count="17">
    <tableColumn id="1" name="Fiscal Year" dataDxfId="2367"/>
    <tableColumn id="11" name="Standard" dataDxfId="2366"/>
    <tableColumn id="6" name="Child Count" dataDxfId="2365"/>
    <tableColumn id="2" name="Local Total Amount" dataDxfId="2364"/>
    <tableColumn id="7" name="Local Total MOE Result" dataDxfId="2363">
      <calculatedColumnFormula>IF('9. 16-17 MOE'!C1="","",IF('9. 16-17 MOE'!C1="Met","Met",IF('9. 16-17 MOE'!C4="Met","Met",IF('9. 16-17 MOE'!C6="Met","Met","Did Not Meet"))))</calculatedColumnFormula>
    </tableColumn>
    <tableColumn id="3" name="State and Local Total Amount" dataDxfId="2362" dataCellStyle="Currency"/>
    <tableColumn id="8" name="State and Local Total MOE Result" dataDxfId="2361">
      <calculatedColumnFormula>IF('9. 16-17 MOE'!C1="","",IF('9. 16-17 MOE'!G1="Met","Met",IF('9. 16-17 MOE'!G4="Met","Met",IF('9. 16-17 MOE'!G6="Met","Met","Did Not Meet"))))</calculatedColumnFormula>
    </tableColumn>
    <tableColumn id="4" name="Local Per Capita Amount" dataDxfId="2360" dataCellStyle="Currency">
      <calculatedColumnFormula>D3/C3</calculatedColumnFormula>
    </tableColumn>
    <tableColumn id="9" name="Local Per Capita MOE Result" dataDxfId="2359">
      <calculatedColumnFormula>IF('9. 16-17 MOE'!C1="","",IF('9. 16-17 MOE'!K3="Met","Met",IF('9. 16-17 MOE'!#REF!="Met","Met",IF('9. 16-17 MOE'!K6="Met","Met","Did Not Meet"))))</calculatedColumnFormula>
    </tableColumn>
    <tableColumn id="5" name="State and Local Per Capita Amount" dataDxfId="2358" dataCellStyle="Currency">
      <calculatedColumnFormula>IF(F3="","",F3/C3)</calculatedColumnFormula>
    </tableColumn>
    <tableColumn id="10" name="State and Local Per Capita MOE Result" dataDxfId="2357">
      <calculatedColumnFormula>IF('9. 16-17 MOE'!C1="","",IF('9. 16-17 MOE'!O3="Met","Met",IF('9. 16-17 MOE'!#REF!="Met","Met",IF('9. 16-17 MOE'!O6="Met","Met","Did Not Meet"))))</calculatedColumnFormula>
    </tableColumn>
    <tableColumn id="12" name="Amount of IDEA Part B, Section 611 Subgrant " dataDxfId="2356" dataCellStyle="Currency"/>
    <tableColumn id="16" name="Amount of IDEA Part B, Section 619 Subgrant" dataDxfId="2355" dataCellStyle="Currency"/>
    <tableColumn id="17" name="Total IDEA Part B Subgrant" dataDxfId="2354" dataCellStyle="Currency"/>
    <tableColumn id="13" name="Repayment Amount (Compliance Test Only)" dataDxfId="2353"/>
    <tableColumn id="14" name="Date SEA Paid Amount (from Non-federal Funds) to the US Treasury" dataDxfId="2352"/>
    <tableColumn id="15" name="Date LEA Paid Amount (from Non-federal Funds) to the SEA, if required" dataDxfId="2351"/>
  </tableColumns>
  <tableStyleInfo name="TableStyleMedium9" showFirstColumn="0" showLastColumn="0" showRowStripes="0" showColumnStripes="0"/>
  <extLst>
    <ext xmlns:x14="http://schemas.microsoft.com/office/spreadsheetml/2009/9/main" uri="{504A1905-F514-4f6f-8877-14C23A59335A}">
      <x14:table altText="Multi-Year MOE Summary" altTextSummary="In this table, the user will enter historical data on child counts, MOE amounts, and MOE results for 2010-11 through 2014-15. The user can also enter data on IDEA subgrants and repayment amounts for those years. For 2015-16 and beyond, the spreadsheet will pull data from other sheets for child counts, MOE amounts, and MOE results. The user will need to enter data on the IDEA subgrants for 2015-16 and beyond. This sheet will also calculate the shortfalls and repayment amount, if needed._x000d__x000a__x000d__x000a_If the LEA cannot separately account for local and state funds, the columns for local amounts and results will be blacked out and will not contain data."/>
    </ext>
  </extLst>
</table>
</file>

<file path=xl/tables/table3.xml><?xml version="1.0" encoding="utf-8"?>
<table xmlns="http://schemas.openxmlformats.org/spreadsheetml/2006/main" id="29" name="ShortfallCalcs" displayName="ShortfallCalcs" ref="V7:Z12" totalsRowShown="0" headerRowDxfId="2350" dataDxfId="2348" headerRowBorderDxfId="2349" tableBorderDxfId="2347" totalsRowBorderDxfId="2346">
  <tableColumns count="5">
    <tableColumn id="1" name="Year" dataDxfId="2345"/>
    <tableColumn id="2" name="Local Total" dataDxfId="2344"/>
    <tableColumn id="3" name="State and Local Total" dataDxfId="2343"/>
    <tableColumn id="4" name="Local Per Capita" dataDxfId="2342"/>
    <tableColumn id="5" name="State and Local Per Capita" dataDxfId="2341"/>
  </tableColumns>
  <tableStyleInfo name="TableStyleMedium9" showFirstColumn="0" showLastColumn="0" showRowStripes="0" showColumnStripes="0"/>
  <extLst>
    <ext xmlns:x14="http://schemas.microsoft.com/office/spreadsheetml/2009/9/main" uri="{504A1905-F514-4f6f-8877-14C23A59335A}">
      <x14:table altText="Shortfall Calculations" altTextSummary="This table will automatically calculate the shortfalls for each method for years 2015-16 and later. "/>
    </ext>
  </extLst>
</table>
</file>

<file path=xl/tables/table4.xml><?xml version="1.0" encoding="utf-8"?>
<table xmlns="http://schemas.openxmlformats.org/spreadsheetml/2006/main" id="14" name="Budget1516" displayName="Budget1516" ref="A4:F31" totalsRowShown="0" headerRowDxfId="2339" tableBorderDxfId="2338">
  <tableColumns count="6">
    <tableColumn id="1" name="Object Description" dataDxfId="2337"/>
    <tableColumn id="2" name="Code 1" dataDxfId="2336"/>
    <tableColumn id="7" name="Code 2" dataDxfId="2335"/>
    <tableColumn id="3" name="Local" dataDxfId="2334" dataCellStyle="Currency"/>
    <tableColumn id="4" name="State" dataDxfId="2333" dataCellStyle="Currency"/>
    <tableColumn id="5" name="State and Local" dataDxfId="2332"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5-16" altTextSummary="In this table, users will enter their budget amounts for 2015-16. The column headers for the first three columns are unlocked and can be edited. If the LEA cannot separately budget for state and local funds, the &quot;Local&quot; column will be blacked out and is unavailable for data entry."/>
    </ext>
  </extLst>
</table>
</file>

<file path=xl/tables/table5.xml><?xml version="1.0" encoding="utf-8"?>
<table xmlns="http://schemas.openxmlformats.org/spreadsheetml/2006/main" id="24" name="Expenditures1516" displayName="Expenditures1516" ref="H4:M31" totalsRowShown="0" headerRowDxfId="2331" tableBorderDxfId="2330">
  <tableColumns count="6">
    <tableColumn id="1" name="Object Description" dataDxfId="2329"/>
    <tableColumn id="2" name="Code" dataDxfId="2328"/>
    <tableColumn id="6" name="Code 2" dataDxfId="2327"/>
    <tableColumn id="3" name="Local" dataDxfId="2326" dataCellStyle="Currency"/>
    <tableColumn id="4" name="State" dataDxfId="2325" dataCellStyle="Currency"/>
    <tableColumn id="5" name="State and Local" dataDxfId="2324"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5-16" altTextSummary="In this table, users will enter the LEA's final expendituresfor 2015-16. The column headers for the first three columns are unlocked and can be edited. If the LEA cannot separately budget for state and local funds, the &quot;Local&quot; column will be blacked out and is unavailable for data entry."/>
    </ext>
  </extLst>
</table>
</file>

<file path=xl/tables/table6.xml><?xml version="1.0" encoding="utf-8"?>
<table xmlns="http://schemas.openxmlformats.org/spreadsheetml/2006/main" id="75" name="LocalTotResults1516" displayName="LocalTotResults1516" ref="A3:C11" totalsRowShown="0" headerRowDxfId="2269" dataDxfId="2267" headerRowBorderDxfId="2268" tableBorderDxfId="2266" totalsRowBorderDxfId="2265">
  <tableColumns count="3">
    <tableColumn id="1" name="Calculations" dataDxfId="2264"/>
    <tableColumn id="2" name="Local  Total" dataDxfId="2263"/>
    <tableColumn id="3" name="MOE Result" dataDxfId="2262">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5-16" altTextSummary="This table calculates the MOE Result for the Local Total method for 2015-16. This table pulls from the Amounts tabs and Exc &amp; Adj tabs to determine the MOE Result."/>
    </ext>
  </extLst>
</table>
</file>

<file path=xl/tables/table7.xml><?xml version="1.0" encoding="utf-8"?>
<table xmlns="http://schemas.openxmlformats.org/spreadsheetml/2006/main" id="76" name="StateLocalTotResults1516" displayName="StateLocalTotResults1516" ref="E3:G11" totalsRowShown="0" headerRowDxfId="2261" dataDxfId="2259" headerRowBorderDxfId="2260" tableBorderDxfId="2258" totalsRowBorderDxfId="2257">
  <tableColumns count="3">
    <tableColumn id="1" name="Calculations" dataDxfId="2256"/>
    <tableColumn id="2" name="State and Local Total" dataDxfId="2255"/>
    <tableColumn id="3" name="MOE Result" dataDxfId="2254">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5-16" altTextSummary="This table calculates the MOE Result for the State and Local Total method for 2015-16. This table pulls from the Amounts tabs and Exc &amp; Adj tabs to determine the MOE Result."/>
    </ext>
  </extLst>
</table>
</file>

<file path=xl/tables/table8.xml><?xml version="1.0" encoding="utf-8"?>
<table xmlns="http://schemas.openxmlformats.org/spreadsheetml/2006/main" id="77" name="ExcACalcsLocalTot1516" displayName="ExcACalcsLocalTot1516" ref="A16:B21" totalsRowShown="0" headerRowDxfId="2253" dataDxfId="2251" headerRowBorderDxfId="2252" tableBorderDxfId="2250" totalsRowBorderDxfId="2249">
  <tableColumns count="2">
    <tableColumn id="1" name="Year" dataDxfId="2248" dataCellStyle="Comma"/>
    <tableColumn id="2" name="Amount" dataDxfId="2247"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5-16" altTextSummary="This table pulls data from the Exc &amp; Adj tabs to calculate exception (a) for the Local Total method for 2015-16. The table may be blank and blacked out if the LEA meets MOE without exceptions. Rows may be blank and blacked out if the LEA does not need to include all years under the &quot;subsequent years&quot; rule."/>
    </ext>
  </extLst>
</table>
</file>

<file path=xl/tables/table9.xml><?xml version="1.0" encoding="utf-8"?>
<table xmlns="http://schemas.openxmlformats.org/spreadsheetml/2006/main" id="78" name="ExcBCalcsLocalTot1516" displayName="ExcBCalcsLocalTot1516" ref="A24:B29" totalsRowShown="0" headerRowDxfId="2246" dataDxfId="2244" headerRowBorderDxfId="2245" tableBorderDxfId="2243" totalsRowBorderDxfId="2242">
  <tableColumns count="2">
    <tableColumn id="1" name="Year" dataDxfId="2241" dataCellStyle="Comma"/>
    <tableColumn id="2" name="Amount" dataDxfId="2240"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5-16" altTextSummary="This table pulls data from the Exc &amp; Adj tabs to calculate exception (b) for the Local Total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0.xml><?xml version="1.0" encoding="utf-8"?>
<table xmlns="http://schemas.openxmlformats.org/spreadsheetml/2006/main" id="79" name="ExcCCalcsLocalTot1516" displayName="ExcCCalcsLocalTot1516" ref="A36:B41" totalsRowShown="0" headerRowDxfId="2239" dataDxfId="2237" headerRowBorderDxfId="2238" tableBorderDxfId="2236">
  <tableColumns count="2">
    <tableColumn id="1" name="Year" dataDxfId="2235"/>
    <tableColumn id="2" name="Amount" dataDxfId="223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5-16" altTextSummary="This table pulls data from the Exc &amp; Adj tabs to calculate exception (c) for the Local Total method for 2015-16. The table may be blank and blacked out if the LEA meets MOE without exceptions. Rows may be blank and blacked out if the LEA does not need to include all years under the &quot;subsequent years&quot; rule."/>
    </ext>
  </extLst>
</table>
</file>

<file path=xl/tables/table11.xml><?xml version="1.0" encoding="utf-8"?>
<table xmlns="http://schemas.openxmlformats.org/spreadsheetml/2006/main" id="80" name="ExcDCalcsLocalTot1516" displayName="ExcDCalcsLocalTot1516" ref="A45:B50" totalsRowShown="0" headerRowDxfId="2233" dataDxfId="2231" headerRowBorderDxfId="2232" tableBorderDxfId="2230" totalsRowBorderDxfId="2229">
  <tableColumns count="2">
    <tableColumn id="1" name="Year" dataDxfId="2228" dataCellStyle="Comma"/>
    <tableColumn id="2" name="Amount" dataDxfId="222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5-16" altTextSummary="This table pulls data from the Exc &amp; Adj tabs to calculate exception (d) for the Local Total method for 2015-16. The table may be blank and blacked out if the LEA meets MOE without exceptions. Rows may be blank and blacked out if the LEA does not need to include all years under the &quot;subsequent years&quot; rule."/>
    </ext>
  </extLst>
</table>
</file>

<file path=xl/tables/table12.xml><?xml version="1.0" encoding="utf-8"?>
<table xmlns="http://schemas.openxmlformats.org/spreadsheetml/2006/main" id="81" name="ExcECalcsLocalTot1516" displayName="ExcECalcsLocalTot1516" ref="A54:B59" totalsRowShown="0" headerRowDxfId="2226" dataDxfId="2224" headerRowBorderDxfId="2225" tableBorderDxfId="2223" totalsRowBorderDxfId="2222">
  <tableColumns count="2">
    <tableColumn id="1" name="Year" dataDxfId="2221" dataCellStyle="Comma"/>
    <tableColumn id="2" name="Amount" dataDxfId="2220"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15-16" altTextSummary="This table pulls data from the Exc &amp; Adj tabs to calculate exception (e) for the Local Total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3.xml><?xml version="1.0" encoding="utf-8"?>
<table xmlns="http://schemas.openxmlformats.org/spreadsheetml/2006/main" id="84" name="AdjCalcsLocalTot1516" displayName="AdjCalcsLocalTot1516" ref="A64:B69" totalsRowShown="0" headerRowDxfId="2219" dataDxfId="2217" headerRowBorderDxfId="2218" tableBorderDxfId="2216" totalsRowBorderDxfId="2215">
  <tableColumns count="2">
    <tableColumn id="1" name="Year" dataDxfId="2214" dataCellStyle="Comma"/>
    <tableColumn id="2" name="Amount" dataDxfId="2213"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5-16" altTextSummary="This table pulls data from the Exc &amp; Adj tabs to calculate the MOE adjustment for the Local Total method for 2015-16. The table may be blank and blacked out if the LEA meets MOE without adjustments. Rows may be blank and blacked out if the LEA does not need to include all years under the &quot;subsequent years&quot; rule."/>
    </ext>
  </extLst>
</table>
</file>

<file path=xl/tables/table14.xml><?xml version="1.0" encoding="utf-8"?>
<table xmlns="http://schemas.openxmlformats.org/spreadsheetml/2006/main" id="85" name="ExcACalcsStateLocalTot1516" displayName="ExcACalcsStateLocalTot1516" ref="E16:F21" totalsRowShown="0" headerRowDxfId="2212" dataDxfId="2210" headerRowBorderDxfId="2211" tableBorderDxfId="2209" totalsRowBorderDxfId="2208">
  <tableColumns count="2">
    <tableColumn id="1" name="Year" dataDxfId="2207" dataCellStyle="Comma"/>
    <tableColumn id="2" name="Amount" dataDxfId="2206"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5-16" altTextSummary="This table pulls data from the Exc &amp; Adj tabs to calculate exception (a) for the State and Local Total method for 2015-16. The table may be blank and blacked out if the LEA meets MOE without exceptions. Rows may be blank and blacked out if the LEA does not need to include all years under the &quot;subsequent years&quot; rule."/>
    </ext>
  </extLst>
</table>
</file>

<file path=xl/tables/table15.xml><?xml version="1.0" encoding="utf-8"?>
<table xmlns="http://schemas.openxmlformats.org/spreadsheetml/2006/main" id="90" name="ExcBCalcsStateLocalTot1516" displayName="ExcBCalcsStateLocalTot1516" ref="E24:F29" headerRowDxfId="2205" dataDxfId="2203" headerRowBorderDxfId="2204" tableBorderDxfId="2202" totalsRowBorderDxfId="2201">
  <tableColumns count="2">
    <tableColumn id="1" name="Year" dataDxfId="2200" totalsRowDxfId="2199" dataCellStyle="Comma"/>
    <tableColumn id="2" name="Amount" dataDxfId="2198" totalsRowDxfId="2197"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5-16" altTextSummary="This table pulls data from the Exc &amp; Adj tabs to calculate exception (b) for the State and Local Total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xml><?xml version="1.0" encoding="utf-8"?>
<table xmlns="http://schemas.openxmlformats.org/spreadsheetml/2006/main" id="93" name="ExcCCalcsStateLocalTot1516" displayName="ExcCCalcsStateLocalTot1516" ref="E36:F41" totalsRowShown="0" headerRowDxfId="2196" dataDxfId="2194" headerRowBorderDxfId="2195" tableBorderDxfId="2193">
  <tableColumns count="2">
    <tableColumn id="1" name="Year" dataDxfId="2192"/>
    <tableColumn id="2" name="Amount" dataDxfId="219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5-16" altTextSummary="This table pulls data from the Exc &amp; Adj tabs to calculate exception (c) for the State and Local Total method for 2015-16. The table may be blank and blacked out if the LEA meets MOE without exceptions. Rows may be blank and blacked out if the LEA does not need to include all years under the &quot;subsequent years&quot; rule."/>
    </ext>
  </extLst>
</table>
</file>

<file path=xl/tables/table17.xml><?xml version="1.0" encoding="utf-8"?>
<table xmlns="http://schemas.openxmlformats.org/spreadsheetml/2006/main" id="94" name="ExcDCalcsStateLocalTot1516" displayName="ExcDCalcsStateLocalTot1516" ref="E45:F50" totalsRowShown="0" headerRowDxfId="2190" dataDxfId="2188" headerRowBorderDxfId="2189" tableBorderDxfId="2187" totalsRowBorderDxfId="2186">
  <tableColumns count="2">
    <tableColumn id="1" name="Year" dataDxfId="2185" dataCellStyle="Comma"/>
    <tableColumn id="2" name="Amount" dataDxfId="218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5-16" altTextSummary="This table pulls data from the Exc &amp; Adj tabs to calculate exception (d) for the State and Local Total method for 2015-16. The table may be blank and blacked out if the LEA meets MOE without exceptions. Rows may be blank and blacked out if the LEA does not need to include all years under the &quot;subsequent years&quot; rule."/>
    </ext>
  </extLst>
</table>
</file>

<file path=xl/tables/table18.xml><?xml version="1.0" encoding="utf-8"?>
<table xmlns="http://schemas.openxmlformats.org/spreadsheetml/2006/main" id="99" name="ExcECalcsStateLocalTot1516" displayName="ExcECalcsStateLocalTot1516" ref="E54:F59" totalsRowShown="0" headerRowDxfId="2183" headerRowBorderDxfId="2182" tableBorderDxfId="2181" totalsRowBorderDxfId="2180">
  <tableColumns count="2">
    <tableColumn id="1" name="Year" dataDxfId="2179" dataCellStyle="Comma"/>
    <tableColumn id="2" name="Amount" dataDxfId="217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5-16" altTextSummary="This table pulls data from the Exc &amp; Adj tabs to calculate exception (e) for the State and Local Total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9.xml><?xml version="1.0" encoding="utf-8"?>
<table xmlns="http://schemas.openxmlformats.org/spreadsheetml/2006/main" id="112" name="AdjCalcsStateLocalTot1516" displayName="AdjCalcsStateLocalTot1516" ref="E64:F69" totalsRowShown="0" headerRowDxfId="2177" dataDxfId="2175" headerRowBorderDxfId="2176" tableBorderDxfId="2174" totalsRowBorderDxfId="2173">
  <tableColumns count="2">
    <tableColumn id="1" name="Year" dataDxfId="2172" dataCellStyle="Comma"/>
    <tableColumn id="2" name="Amount" dataDxfId="217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5-16" altTextSummary="This table pulls data from the Exc &amp; Adj tabs to calculate the MOE adjustment for the State and Local Total method for 2015-16. The table may be blank and blacked out if the LEA meets MOE without adjustments. Rows may be blank and blacked out if the LEA does not need to include all years under the &quot;subsequent years&quot; rule."/>
    </ext>
  </extLst>
</table>
</file>

<file path=xl/tables/table20.xml><?xml version="1.0" encoding="utf-8"?>
<table xmlns="http://schemas.openxmlformats.org/spreadsheetml/2006/main" id="113" name="ExcACalcsLocalPerCap1516" displayName="ExcACalcsLocalPerCap1516" ref="I16:J21" totalsRowShown="0" headerRowDxfId="2170" dataDxfId="2168" headerRowBorderDxfId="2169" tableBorderDxfId="2167" totalsRowBorderDxfId="2166">
  <tableColumns count="2">
    <tableColumn id="1" name="Year" dataDxfId="2165" dataCellStyle="Comma"/>
    <tableColumn id="2" name="Amount" dataDxfId="2164"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5-16" altTextSummary="This table pulls data from the Exc &amp; Adj tabs to calculate exception (a) for the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1.xml><?xml version="1.0" encoding="utf-8"?>
<table xmlns="http://schemas.openxmlformats.org/spreadsheetml/2006/main" id="122" name="ExcBCalcsLocalPerCap1516" displayName="ExcBCalcsLocalPerCap1516" ref="I24:J29" headerRowDxfId="2163" dataDxfId="2161" headerRowBorderDxfId="2162" tableBorderDxfId="2160" totalsRowBorderDxfId="2159">
  <tableColumns count="2">
    <tableColumn id="1" name="Year" totalsRowFunction="custom" dataDxfId="2158" totalsRowDxfId="2157" dataCellStyle="Comma">
      <totalsRowFormula>IF(K$6="Met","",IF(OR(J$4="2014-2015",J$4="2013-2014",J$4="2012-2013",J$4="2011-2012"),"","2011-12 Total"))</totalsRowFormula>
    </tableColumn>
    <tableColumn id="2" name="Amount" dataDxfId="2156" totalsRowDxfId="2155"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altions for Local Per Capita method for 2015-16" altTextSummary="This table pulls data from the Exc &amp; Adj tabs to calculate exception (b) for the Local Per Capita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2.xml><?xml version="1.0" encoding="utf-8"?>
<table xmlns="http://schemas.openxmlformats.org/spreadsheetml/2006/main" id="123" name="ExcCCalcsLocalPerCap1516" displayName="ExcCCalcsLocalPerCap1516" ref="I36:J41" totalsRowShown="0" headerRowDxfId="2154" dataDxfId="2152" headerRowBorderDxfId="2153" tableBorderDxfId="2151">
  <tableColumns count="2">
    <tableColumn id="1" name="Year" dataDxfId="2150"/>
    <tableColumn id="2" name="Amount" dataDxfId="2149"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5-16" altTextSummary="This table pulls data from the Exc &amp; Adj tabs to calculate exception (c) for the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3.xml><?xml version="1.0" encoding="utf-8"?>
<table xmlns="http://schemas.openxmlformats.org/spreadsheetml/2006/main" id="124" name="ExcDCalcsLocalPerCap1516" displayName="ExcDCalcsLocalPerCap1516" ref="I45:J50" totalsRowShown="0" headerRowDxfId="2148" dataDxfId="2146" headerRowBorderDxfId="2147" tableBorderDxfId="2145" totalsRowBorderDxfId="2144">
  <tableColumns count="2">
    <tableColumn id="1" name="Year" dataDxfId="2143" dataCellStyle="Comma"/>
    <tableColumn id="2" name="Amount" dataDxfId="2142"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5-16" altTextSummary="This table pulls data from the Exc &amp; Adj tabs to calculate exception (d) for the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4.xml><?xml version="1.0" encoding="utf-8"?>
<table xmlns="http://schemas.openxmlformats.org/spreadsheetml/2006/main" id="125" name="ExcECalcsLocalPerCap1516" displayName="ExcECalcsLocalPerCap1516" ref="I54:J59" totalsRowShown="0" headerRowDxfId="2141" headerRowBorderDxfId="2140" tableBorderDxfId="2139" totalsRowBorderDxfId="2138">
  <tableColumns count="2">
    <tableColumn id="1" name="Year" dataDxfId="2137" dataCellStyle="Comma"/>
    <tableColumn id="2" name="Amount" dataDxfId="2136"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5-16" altTextSummary="This table pulls data from the Exc &amp; Adj tabs to calculate exception (e) for the Local Per Capita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5.xml><?xml version="1.0" encoding="utf-8"?>
<table xmlns="http://schemas.openxmlformats.org/spreadsheetml/2006/main" id="126" name="AdjCalcsLocalPerCap1516" displayName="AdjCalcsLocalPerCap1516" ref="I65:J70" totalsRowShown="0" headerRowDxfId="2135" dataDxfId="2133" headerRowBorderDxfId="2134" tableBorderDxfId="2132" totalsRowBorderDxfId="2131">
  <tableColumns count="2">
    <tableColumn id="1" name="Year" dataDxfId="2130" dataCellStyle="Comma"/>
    <tableColumn id="2" name="Amount" dataDxfId="212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5-16" altTextSummary="This table pulls data from the Exc &amp; Adj tabs to calculate the MOE adjustment for the Local Per Capita method for 2015-16. The table may be blank and blacked out if the LEA meets MOE without adjustments. Rows may be blank and blacked out if the LEA does not need to include all years under the &quot;subsequent years&quot; rule."/>
    </ext>
  </extLst>
</table>
</file>

<file path=xl/tables/table26.xml><?xml version="1.0" encoding="utf-8"?>
<table xmlns="http://schemas.openxmlformats.org/spreadsheetml/2006/main" id="127" name="LocalPerCapResults1516" displayName="LocalPerCapResults1516" ref="I3:K11" totalsRowShown="0" headerRowDxfId="2128" dataDxfId="2127" tableBorderDxfId="2126">
  <tableColumns count="3">
    <tableColumn id="1" name="Calculations" dataDxfId="2125"/>
    <tableColumn id="2" name="Local Per Capita" dataDxfId="2124" dataCellStyle="Currency"/>
    <tableColumn id="3" name="MOE Result" dataDxfId="2123"/>
  </tableColumns>
  <tableStyleInfo name="TableStyleMedium9" showFirstColumn="0" showLastColumn="0" showRowStripes="1" showColumnStripes="0"/>
  <extLst>
    <ext xmlns:x14="http://schemas.microsoft.com/office/spreadsheetml/2009/9/main" uri="{504A1905-F514-4f6f-8877-14C23A59335A}">
      <x14:table altText="Local Per Capita MOE Results for 2015-16" altTextSummary="This table calculates the MOE Result for the Local Per Capita method for 2015-16. This table pulls from the Amounts tabs and Exc &amp; Adj tabs to determine the MOE Result."/>
    </ext>
  </extLst>
</table>
</file>

<file path=xl/tables/table27.xml><?xml version="1.0" encoding="utf-8"?>
<table xmlns="http://schemas.openxmlformats.org/spreadsheetml/2006/main" id="128" name="StateLocalPerCapResults1516" displayName="StateLocalPerCapResults1516" ref="M3:O11" totalsRowShown="0" headerRowDxfId="2122" dataDxfId="2121" tableBorderDxfId="2120">
  <tableColumns count="3">
    <tableColumn id="1" name="Calculations" dataDxfId="2119"/>
    <tableColumn id="2" name="State &amp; Local Per Capita" dataDxfId="2118" dataCellStyle="Currency"/>
    <tableColumn id="3" name="MOE Result" dataDxfId="2117"/>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5-16" altTextSummary="This table calculates the MOE Result for the State and Local Per Capita method for 2015-16. This table pulls from the Amounts tabs and Exc &amp; Adj tabs to determine the MOE Result."/>
    </ext>
  </extLst>
</table>
</file>

<file path=xl/tables/table28.xml><?xml version="1.0" encoding="utf-8"?>
<table xmlns="http://schemas.openxmlformats.org/spreadsheetml/2006/main" id="129" name="ExcACalcsStateLocalPerCap1516" displayName="ExcACalcsStateLocalPerCap1516" ref="M16:N21" totalsRowShown="0" headerRowDxfId="2116" dataDxfId="2114" headerRowBorderDxfId="2115" tableBorderDxfId="2113" totalsRowBorderDxfId="2112">
  <tableColumns count="2">
    <tableColumn id="1" name="Year" dataDxfId="2111" dataCellStyle="Comma"/>
    <tableColumn id="2" name="Amount" dataDxfId="211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5-16" altTextSummary="This table pulls data from the Exc &amp; Adj tabs to calculate exception (a) for the State and Local Per Capita method for 2015-16. The table may be blank and blacked out if the LEA meets MOE without exceptions. Rows may be blank and blacked out if the LEA does not need to include all years under the &quot;subsequent years&quot; rule."/>
    </ext>
  </extLst>
</table>
</file>

<file path=xl/tables/table29.xml><?xml version="1.0" encoding="utf-8"?>
<table xmlns="http://schemas.openxmlformats.org/spreadsheetml/2006/main" id="130" name="ExcBCalcsStateLocalPerCap1516" displayName="ExcBCalcsStateLocalPerCap1516" ref="M24:N29" headerRowDxfId="2109" dataDxfId="2107" headerRowBorderDxfId="2108" tableBorderDxfId="2106" totalsRowBorderDxfId="2105">
  <tableColumns count="2">
    <tableColumn id="1" name="Year" totalsRowFunction="custom" dataDxfId="2104" totalsRowDxfId="2103" dataCellStyle="Comma">
      <totalsRowFormula>IF(O$6="Met","",IF(OR(N$4="2014-2015",N$4="2013-2014",N$4="2012-2013",N$4="2011-2012"),"","2011-12 Total"))</totalsRowFormula>
    </tableColumn>
    <tableColumn id="2" name="Amount" dataDxfId="2102" totalsRowDxfId="210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5-16" altTextSummary="This table pulls data from the Exc &amp; Adj tabs to calculate exception (b) for the State and Local Per Capita method for 2015-16.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30.xml><?xml version="1.0" encoding="utf-8"?>
<table xmlns="http://schemas.openxmlformats.org/spreadsheetml/2006/main" id="131" name="ExcCCalcsStateLocalPerCap1516" displayName="ExcCCalcsStateLocalPerCap1516" ref="M36:N41" totalsRowShown="0" headerRowDxfId="2100" dataDxfId="2098" headerRowBorderDxfId="2099" tableBorderDxfId="2097">
  <tableColumns count="2">
    <tableColumn id="1" name="Year" dataDxfId="2096"/>
    <tableColumn id="2" name="Amount" dataDxfId="209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5-16" altTextSummary="This table pulls data from the Exc &amp; Adj tabs to calculate exception (c) for the State and Local Per Capita method for 2015-16. The table may be blank and blacked out if the LEA meets MOE without exceptions. Rows may be blank and blacked out if the LEA does not need to include all years under the &quot;subsequent years&quot; rule."/>
    </ext>
  </extLst>
</table>
</file>

<file path=xl/tables/table31.xml><?xml version="1.0" encoding="utf-8"?>
<table xmlns="http://schemas.openxmlformats.org/spreadsheetml/2006/main" id="132" name="ExcDCalcsStateLocalPerCap1516" displayName="ExcDCalcsStateLocalPerCap1516" ref="M45:N50" totalsRowShown="0" headerRowDxfId="2094" dataDxfId="2092" headerRowBorderDxfId="2093" tableBorderDxfId="2091" totalsRowBorderDxfId="2090">
  <tableColumns count="2">
    <tableColumn id="1" name="Year" dataDxfId="2089" dataCellStyle="Comma"/>
    <tableColumn id="2" name="Amount" dataDxfId="2088"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5-16" altTextSummary="This table pulls data from the Exc &amp; Adj tabs to calculate exception (d) for the State and Local Per Capita method for 2015-16. The table may be blank and blacked out if the LEA meets MOE without exceptions. Rows may be blank and blacked out if the LEA does not need to include all years under the &quot;subsequent years&quot; rule."/>
    </ext>
  </extLst>
</table>
</file>

<file path=xl/tables/table32.xml><?xml version="1.0" encoding="utf-8"?>
<table xmlns="http://schemas.openxmlformats.org/spreadsheetml/2006/main" id="133" name="ExcECalcsStateLocalPerCap1516" displayName="ExcECalcsStateLocalPerCap1516" ref="M54:N59" totalsRowShown="0" headerRowDxfId="2087" headerRowBorderDxfId="2086" tableBorderDxfId="2085" totalsRowBorderDxfId="2084">
  <tableColumns count="2">
    <tableColumn id="1" name="Year" dataDxfId="2083" dataCellStyle="Comma"/>
    <tableColumn id="2" name="Amount" dataDxfId="2082"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5-16" altTextSummary="This table pulls data from the Exc &amp; Adj tabs to calculate exception (e) for the State and Local Per Capita method for 2015-16.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33.xml><?xml version="1.0" encoding="utf-8"?>
<table xmlns="http://schemas.openxmlformats.org/spreadsheetml/2006/main" id="134" name="AdjCalcsStateLocalPerCap1516" displayName="AdjCalcsStateLocalPerCap1516" ref="M65:N70" totalsRowShown="0" headerRowDxfId="2081" dataDxfId="2079" headerRowBorderDxfId="2080" tableBorderDxfId="2078" totalsRowBorderDxfId="2077">
  <tableColumns count="2">
    <tableColumn id="1" name="Year" dataDxfId="2076" dataCellStyle="Comma"/>
    <tableColumn id="2" name="Amount" dataDxfId="2075"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5-16" altTextSummary="This table pulls data from the Exc &amp; Adj tabs to calculate the MOE adjustment for the State and Local Per Capita method for 2015-16. The table may be blank and blacked out if the LEA meets MOE without adjustments. Rows may be blank and blacked out if the LEA does not need to include all years under the &quot;subsequent years&quot; rule."/>
    </ext>
  </extLst>
</table>
</file>

<file path=xl/tables/table34.xml><?xml version="1.0" encoding="utf-8"?>
<table xmlns="http://schemas.openxmlformats.org/spreadsheetml/2006/main" id="55" name="ExcADepartingData1516Budget" displayName="ExcADepartingData1516Budget" ref="A6:F12" totalsRowShown="0" headerRowDxfId="2065" dataDxfId="2063" headerRowBorderDxfId="2064" tableBorderDxfId="2062">
  <tableColumns count="6">
    <tableColumn id="1" name="Position Title" dataDxfId="2061"/>
    <tableColumn id="2" name="Employee Name" dataDxfId="2060"/>
    <tableColumn id="3" name="Reason for Leaving" dataDxfId="2059"/>
    <tableColumn id="4" name="Salary" dataDxfId="2058" dataCellStyle="Currency"/>
    <tableColumn id="5" name="Benefits" dataDxfId="2057" dataCellStyle="Currency"/>
    <tableColumn id="8" name="Total Budget" dataDxfId="2056"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5-16 Eligiblity Standard" altTextSummary="Users can enter data in this table for any departing personnel projected for 2015-16. This table is for the eligiblity standard and is based on budget amounts."/>
    </ext>
  </extLst>
</table>
</file>

<file path=xl/tables/table35.xml><?xml version="1.0" encoding="utf-8"?>
<table xmlns="http://schemas.openxmlformats.org/spreadsheetml/2006/main" id="56" name="ExcAReplaceData1516Budget" displayName="ExcAReplaceData1516Budget" ref="A14:F20" totalsRowShown="0" headerRowDxfId="2055" dataDxfId="2053" headerRowBorderDxfId="2054" tableBorderDxfId="2052">
  <tableColumns count="6">
    <tableColumn id="1" name="Position Title" dataDxfId="2051"/>
    <tableColumn id="2" name="Employee Name" dataDxfId="2050"/>
    <tableColumn id="3" name="Column1" dataDxfId="2049"/>
    <tableColumn id="4" name="Salary" dataDxfId="2048" dataCellStyle="Currency"/>
    <tableColumn id="5" name="Benefits" dataDxfId="2047" dataCellStyle="Currency"/>
    <tableColumn id="8" name="Total Budget" dataDxfId="204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5-16 Eligibility Standard" altTextSummary="Users can enter data in this table for any replacement personnel projected for 2015-16. This table is for the eligiblity standard and is based on budget amounts."/>
    </ext>
  </extLst>
</table>
</file>

<file path=xl/tables/table36.xml><?xml version="1.0" encoding="utf-8"?>
<table xmlns="http://schemas.openxmlformats.org/spreadsheetml/2006/main" id="59" name="ExcDData1516Budget" displayName="ExcDData1516Budget" ref="A50:B56" totalsRowShown="0" headerRowDxfId="2045" dataDxfId="2043" headerRowBorderDxfId="2044" tableBorderDxfId="2042">
  <tableColumns count="2">
    <tableColumn id="1" name="Description" dataDxfId="2041"/>
    <tableColumn id="2" name="Budgeted Cost in Final Year" dataDxfId="204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5-16 Eligiblity Standard" altTextSummary="Users can enter data in this table for the projected termination of costly expenditures for long-term purchases for 2015-16. This table is for the eligiblity standard and is based on budget amounts."/>
    </ext>
  </extLst>
</table>
</file>

<file path=xl/tables/table37.xml><?xml version="1.0" encoding="utf-8"?>
<table xmlns="http://schemas.openxmlformats.org/spreadsheetml/2006/main" id="60" name="AdjData1516Budget" displayName="AdjData1516Budget" ref="A69:B70" totalsRowShown="0" headerRowDxfId="2039" dataDxfId="2037" headerRowBorderDxfId="2038" tableBorderDxfId="2036" totalsRowBorderDxfId="2035">
  <tableColumns count="2">
    <tableColumn id="1" name="Column1" dataDxfId="2034"/>
    <tableColumn id="2" name="Projected Adjustment" dataDxfId="2033">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5-16 Eligiblity Standard" altTextSummary="Users can enter data in this table for the projected Adjustment to MOE for 2015-16. This table is for the eligiblity standard and is based on budget amounts. Use IDC's MOE Reduction Decision Tree and Calculator to determine the adjustment amount."/>
    </ext>
  </extLst>
</table>
</file>

<file path=xl/tables/table38.xml><?xml version="1.0" encoding="utf-8"?>
<table xmlns="http://schemas.openxmlformats.org/spreadsheetml/2006/main" id="61" name="ExcCData1516Budget" displayName="ExcCData1516Budget" ref="A40:C46" totalsRowShown="0" headerRowDxfId="2032" dataDxfId="2031" tableBorderDxfId="2030">
  <tableColumns count="3">
    <tableColumn id="1" name="Student Identifier" dataDxfId="2029"/>
    <tableColumn id="2" name="Reason" dataDxfId="2028"/>
    <tableColumn id="3" name="Budgeted Cost" dataDxfId="202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5-16 Eligiblity Standard" altTextSummary="Users can enter data in this table for the projected termination of the obligation to provide special education to a particular student that is an exceptionally costly program projected for 2015-16. This table is for the eligiblity standard and is based on budget amounts."/>
    </ext>
  </extLst>
</table>
</file>

<file path=xl/tables/table39.xml><?xml version="1.0" encoding="utf-8"?>
<table xmlns="http://schemas.openxmlformats.org/spreadsheetml/2006/main" id="8" name="ExcEData1516Budget" displayName="ExcEData1516Budget" ref="A60:B66" totalsRowShown="0" headerRowDxfId="2026" tableBorderDxfId="2025">
  <tableColumns count="2">
    <tableColumn id="1" name="Student Identifier" dataDxfId="2024"/>
    <tableColumn id="2" name="Budgeted Cost Assumed by SEA" dataDxfId="2023"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5-16 Eligiblity Standard" altTextSummary="Users can enter data for the projected assumption of cost by the high cost fund operated by the SEA for for 2015-16. This table is for the eligiblity standard and uses budget data. The table will be blank and blacked out if the SEA does not have a high cost fund under §300.704."/>
    </ext>
  </extLst>
</table>
</file>

<file path=xl/tables/table40.xml><?xml version="1.0" encoding="utf-8"?>
<table xmlns="http://schemas.openxmlformats.org/spreadsheetml/2006/main" id="26" name="ExcBAutoEnrollmentData1516Budget" displayName="ExcBAutoEnrollmentData1516Budget" ref="A28:B32" totalsRowShown="0" headerRowDxfId="2022" dataDxfId="2021">
  <tableColumns count="2">
    <tableColumn id="1" name="Column1" dataDxfId="2020"/>
    <tableColumn id="2" name="Column2" dataDxfId="2019"/>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5-16 Eligibility Standard" altTextSummary="This table automatically calculates the change in enrollment for 2015-16 to determine whether the LEA can apply exception (b). This table is for the eligiblity standard."/>
    </ext>
  </extLst>
</table>
</file>

<file path=xl/tables/table41.xml><?xml version="1.0" encoding="utf-8"?>
<table xmlns="http://schemas.openxmlformats.org/spreadsheetml/2006/main" id="27" name="ExcBAutoReductionData1516Budget" displayName="ExcBAutoReductionData1516Budget" ref="A33:C35" totalsRowShown="0" headerRowDxfId="2018" dataDxfId="2016" headerRowBorderDxfId="2017" tableBorderDxfId="2015" totalsRowBorderDxfId="2014" headerRowCellStyle="Percent">
  <tableColumns count="3">
    <tableColumn id="1" name="Column1" dataDxfId="2013"/>
    <tableColumn id="2" name="Local Total" dataDxfId="2012"/>
    <tableColumn id="3" name="State and Local Total" dataDxfId="2011"/>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5-16 Eligiblity Standard" altTextSummary="This table automatically calculates the projected reduction based on a decrease in enrollment for 2015-16. This table is for the eligiblity standard and uses budget data. The table will be blank and blacked out if there is no decrease in enrollment or if the user selected manual entry for exception (b)."/>
    </ext>
  </extLst>
</table>
</file>

<file path=xl/tables/table42.xml><?xml version="1.0" encoding="utf-8"?>
<table xmlns="http://schemas.openxmlformats.org/spreadsheetml/2006/main" id="28" name="ExcBManualData1516Budget" displayName="ExcBManualData1516Budget" ref="A24:E25" totalsRowShown="0" headerRowDxfId="2010" dataDxfId="2008" headerRowBorderDxfId="2009" tableBorderDxfId="2007" totalsRowBorderDxfId="2006" headerRowCellStyle="Percent">
  <tableColumns count="5">
    <tableColumn id="1" name="Column1" dataDxfId="2005">
      <calculatedColumnFormula>IF(B31="","Projected Reduction",IF(B31&lt;0,"Projected Reduction",IF(B31&gt;=0,"Not eligible for this exception","Projected Reduction")))</calculatedColumnFormula>
    </tableColumn>
    <tableColumn id="2" name="Local Total" dataDxfId="2004"/>
    <tableColumn id="3" name="State and Local Total" dataDxfId="2003"/>
    <tableColumn id="4" name="Local Per Capita" dataDxfId="2002"/>
    <tableColumn id="5" name="State and Local Per Capita" dataDxfId="2001"/>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5-16 Eligibility Standard" altTextSummary="If users prefer to use their own method to calculate the reduction for exception (b), they can use this table for any projected reduction in 2015-16. This table is for the eligiblity standard and is based on budget amounts. This table will be blank and blacked out if users selected auto-calculation of exception (b) on the Getting Started tab or if there is no decrease in enrollment."/>
    </ext>
  </extLst>
</table>
</file>

<file path=xl/tables/table43.xml><?xml version="1.0" encoding="utf-8"?>
<table xmlns="http://schemas.openxmlformats.org/spreadsheetml/2006/main" id="57" name="ExcADepartingData1516Expenditures" displayName="ExcADepartingData1516Expenditures" ref="H6:M12" totalsRowShown="0" headerRowDxfId="2000" dataDxfId="1998" headerRowBorderDxfId="1999" tableBorderDxfId="1997">
  <tableColumns count="6">
    <tableColumn id="1" name="Position Title" dataDxfId="1996"/>
    <tableColumn id="2" name="Employee Name" dataDxfId="1995"/>
    <tableColumn id="3" name="Reason for Leaving" dataDxfId="1994"/>
    <tableColumn id="4" name="Salary" dataDxfId="1993" dataCellStyle="Currency"/>
    <tableColumn id="5" name="Benefits" dataDxfId="1992" dataCellStyle="Currency"/>
    <tableColumn id="8" name="Total Expenditures" dataDxfId="1991"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5-16 Compliance Standard" altTextSummary="Users can enter data in this table for any departing personnel for 2015-16. This table is for the compliance standard and is based on final expenditures."/>
    </ext>
  </extLst>
</table>
</file>

<file path=xl/tables/table44.xml><?xml version="1.0" encoding="utf-8"?>
<table xmlns="http://schemas.openxmlformats.org/spreadsheetml/2006/main" id="58" name="ExcAReplaceData1516Expenditures" displayName="ExcAReplaceData1516Expenditures" ref="H14:M20" totalsRowShown="0" headerRowDxfId="1990" dataDxfId="1988" headerRowBorderDxfId="1989" tableBorderDxfId="1987">
  <tableColumns count="6">
    <tableColumn id="1" name="Position Title" dataDxfId="1986"/>
    <tableColumn id="2" name="Employee Name" dataDxfId="1985"/>
    <tableColumn id="3" name="Column1" dataDxfId="1984"/>
    <tableColumn id="4" name="Salary" dataDxfId="1983" dataCellStyle="Currency"/>
    <tableColumn id="5" name="Benefits" dataDxfId="1982" dataCellStyle="Currency"/>
    <tableColumn id="8" name="Total Expenditures" dataDxfId="1981"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5-16 Compliance Standard" altTextSummary="Users can enter data in this table for any replacement personnel for 2015-16. This table is for the compliance standard and is based on final expenditures."/>
    </ext>
  </extLst>
</table>
</file>

<file path=xl/tables/table45.xml><?xml version="1.0" encoding="utf-8"?>
<table xmlns="http://schemas.openxmlformats.org/spreadsheetml/2006/main" id="62" name="ExcDData1516Expenditures" displayName="ExcDData1516Expenditures" ref="H50:I56" totalsRowShown="0" headerRowDxfId="1980" dataDxfId="1978" headerRowBorderDxfId="1979" tableBorderDxfId="1977">
  <tableColumns count="2">
    <tableColumn id="1" name="Description" dataDxfId="1976"/>
    <tableColumn id="2" name="Cost in Final Year of Expenditure" dataDxfId="1975"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5-16 Compliance Standard" altTextSummary="Users can enter data in this table for the termination of costly expenditures for long-term purchases for 2015-16. This table is for the compliance standard and is based on final expenditures."/>
    </ext>
  </extLst>
</table>
</file>

<file path=xl/tables/table46.xml><?xml version="1.0" encoding="utf-8"?>
<table xmlns="http://schemas.openxmlformats.org/spreadsheetml/2006/main" id="63" name="AdjData1516Expenditures" displayName="AdjData1516Expenditures" ref="H69:I70" totalsRowShown="0" headerRowDxfId="1974" dataDxfId="1972" headerRowBorderDxfId="1973" tableBorderDxfId="1971" totalsRowBorderDxfId="1970">
  <tableColumns count="2">
    <tableColumn id="1" name="Column1" dataDxfId="1969"/>
    <tableColumn id="2" name="Adjustment " dataDxfId="1968">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5-16 Compliance Standard" altTextSummary="Users can enter data in this table for the Adjustment to MOE for 2015-16. This table is for the compliance standard and is based on final expenditures. Use IDC's MOE Reduction Decision Tree and Calculator to determine the adjustment amount."/>
    </ext>
  </extLst>
</table>
</file>

<file path=xl/tables/table47.xml><?xml version="1.0" encoding="utf-8"?>
<table xmlns="http://schemas.openxmlformats.org/spreadsheetml/2006/main" id="66" name="ExcCData1516Expenditures" displayName="ExcCData1516Expenditures" ref="H40:J46" totalsRowShown="0" headerRowDxfId="1967" dataDxfId="1966" tableBorderDxfId="1965">
  <tableColumns count="3">
    <tableColumn id="1" name="Student Identifier" dataDxfId="1964"/>
    <tableColumn id="2" name="Reason" dataDxfId="1963"/>
    <tableColumn id="3" name="Expenditures" dataDxfId="1962"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5-16 Compliance Standard" altTextSummary="Users can enter data in this table for the termination of the obligation to provide special education to a particular student that is an exceptionally costly program projected for 2015-16. This table is for the compliance standard and is based on final expenditures."/>
    </ext>
  </extLst>
</table>
</file>

<file path=xl/tables/table48.xml><?xml version="1.0" encoding="utf-8"?>
<table xmlns="http://schemas.openxmlformats.org/spreadsheetml/2006/main" id="67" name="ExcEData1516Expenditures" displayName="ExcEData1516Expenditures" ref="H60:I66" totalsRowShown="0" headerRowDxfId="1961" tableBorderDxfId="1960">
  <tableColumns count="2">
    <tableColumn id="1" name="Student Identifier" dataDxfId="1959"/>
    <tableColumn id="2" name="Cost Assumed by SEA" dataDxfId="195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5-16 Compliance Standard" altTextSummary="Users can enter data for the assumption of cost by the high cost fund operated by the SEA for for 2015-16. This table is for the compliance standard and uses final expenditures. The table will be blank and blacked out if the SEA does not have a high cost fund under §300.704."/>
    </ext>
  </extLst>
</table>
</file>

<file path=xl/tables/table49.xml><?xml version="1.0" encoding="utf-8"?>
<table xmlns="http://schemas.openxmlformats.org/spreadsheetml/2006/main" id="72" name="ExcBAutoEnrollmentData1516Expenditures" displayName="ExcBAutoEnrollmentData1516Expenditures" ref="H28:I32" totalsRowShown="0" headerRowDxfId="1957" dataDxfId="1956">
  <tableColumns count="2">
    <tableColumn id="1" name="Column1" dataDxfId="1955"/>
    <tableColumn id="2" name="Column2" dataDxfId="195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5-16 Compliance Standard" altTextSummary="This table automatically calculates the change in enrollment for 2015-16 to determine whether the LEA can apply exception (b). This table is for the compliance standard."/>
    </ext>
  </extLst>
</table>
</file>

<file path=xl/tables/table50.xml><?xml version="1.0" encoding="utf-8"?>
<table xmlns="http://schemas.openxmlformats.org/spreadsheetml/2006/main" id="73" name="ExcBAutoReductionData1516Expenditures" displayName="ExcBAutoReductionData1516Expenditures" ref="H33:J35" totalsRowShown="0" headerRowDxfId="1953" dataDxfId="1951" headerRowBorderDxfId="1952" tableBorderDxfId="1950" totalsRowBorderDxfId="1949" headerRowCellStyle="Percent">
  <tableColumns count="3">
    <tableColumn id="1" name="Column1" dataDxfId="1948"/>
    <tableColumn id="2" name="Local Total" dataDxfId="1947"/>
    <tableColumn id="3" name="State and Local Total" dataDxfId="1946"/>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5-16 Compliance Standard" altTextSummary="This table automatically calculates the reduction based on a decrease in enrollment for 2015-16. This table is for the compliance standard and uses final expenditures. The table will be blank and blacked out if there is no decrease in enrollment or if the user selected manual entry for exception (b)."/>
    </ext>
  </extLst>
</table>
</file>

<file path=xl/tables/table51.xml><?xml version="1.0" encoding="utf-8"?>
<table xmlns="http://schemas.openxmlformats.org/spreadsheetml/2006/main" id="74" name="ExcBManualData1516Expenditures" displayName="ExcBManualData1516Expenditures" ref="H24:L25" totalsRowShown="0" headerRowDxfId="1945" dataDxfId="1943" headerRowBorderDxfId="1944" tableBorderDxfId="1942" totalsRowBorderDxfId="1941" headerRowCellStyle="Percent">
  <tableColumns count="5">
    <tableColumn id="1" name="Column1" dataDxfId="1940">
      <calculatedColumnFormula>IF(I31="","Allowed Reduction",IF(I31&lt;0,"Allowed Reduction",IF(I31&gt;=0,"Not eligible for this exception","Allowed Reduction")))</calculatedColumnFormula>
    </tableColumn>
    <tableColumn id="2" name="Local Total" dataDxfId="1939"/>
    <tableColumn id="3" name="State and Local Total" dataDxfId="1938"/>
    <tableColumn id="4" name="Local Per Capita" dataDxfId="1937"/>
    <tableColumn id="5" name="State and Local Per Capita" dataDxfId="193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5-16 Compliance Standard" altTextSummary="If users prefer to use their own method to calculate the reduction for exception (b), they can use this table for any reduction in 2015-16.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52.xml><?xml version="1.0" encoding="utf-8"?>
<table xmlns="http://schemas.openxmlformats.org/spreadsheetml/2006/main" id="3" name="Budget1617" displayName="Budget1617" ref="A4:F31" totalsRowShown="0" headerRowDxfId="1934" dataDxfId="1933" tableBorderDxfId="1932">
  <tableColumns count="6">
    <tableColumn id="1" name="Object Description" dataDxfId="1931"/>
    <tableColumn id="2" name="Code" dataDxfId="1930"/>
    <tableColumn id="6" name="Code 2" dataDxfId="1929"/>
    <tableColumn id="3" name="Local" dataDxfId="1928" dataCellStyle="Currency"/>
    <tableColumn id="4" name="State" dataDxfId="1927" dataCellStyle="Currency"/>
    <tableColumn id="5" name="State and Local" dataDxfId="1926"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6-17" altTextSummary="In this table, users will enter their budget amounts for 2016-17. The column headers for the first three columns are unlocked and can be edited. If the LEA cannot separately budget for state and local funds, the &quot;Local&quot; column will be blacked out and is unavailable for data entry."/>
    </ext>
  </extLst>
</table>
</file>

<file path=xl/tables/table53.xml><?xml version="1.0" encoding="utf-8"?>
<table xmlns="http://schemas.openxmlformats.org/spreadsheetml/2006/main" id="17" name="Expenditures1617" displayName="Expenditures1617" ref="H4:M31" totalsRowShown="0" headerRowDxfId="1925" dataDxfId="1924" tableBorderDxfId="1923">
  <tableColumns count="6">
    <tableColumn id="1" name="Object Description" dataDxfId="1922"/>
    <tableColumn id="2" name="Code" dataDxfId="1921"/>
    <tableColumn id="6" name="Code 2" dataDxfId="1920"/>
    <tableColumn id="3" name="Local" dataDxfId="1919" dataCellStyle="Currency"/>
    <tableColumn id="4" name="State" dataDxfId="1918" dataCellStyle="Currency"/>
    <tableColumn id="5" name="State and Local" dataDxfId="1917"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6-17" altTextSummary="In this table, users will enter the LEA's final expendituresfor 2016-17. The column headers for the first three columns are unlocked and can be edited. If the LEA cannot separately budget for state and local funds, the &quot;Local&quot; column will be blacked out and is unavailable for data entry."/>
    </ext>
  </extLst>
</table>
</file>

<file path=xl/tables/table54.xml><?xml version="1.0" encoding="utf-8"?>
<table xmlns="http://schemas.openxmlformats.org/spreadsheetml/2006/main" id="6" name="LocalTotResults1617" displayName="LocalTotResults1617" ref="A3:C11" totalsRowShown="0" headerRowDxfId="1858" dataDxfId="1856" headerRowBorderDxfId="1857" tableBorderDxfId="1855" totalsRowBorderDxfId="1854">
  <tableColumns count="3">
    <tableColumn id="1" name="Calculations" dataDxfId="1853"/>
    <tableColumn id="2" name="Local  Total" dataDxfId="1852"/>
    <tableColumn id="3" name="MOE Result" dataDxfId="1851">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tal Total MOE Results for 2016-17" altTextSummary="This table calculates the MOE Result for the Local Total method for 2016-17. This table pulls from the Amounts tabs and Exc &amp; Adj tabs to determine the MOE Result."/>
    </ext>
  </extLst>
</table>
</file>

<file path=xl/tables/table55.xml><?xml version="1.0" encoding="utf-8"?>
<table xmlns="http://schemas.openxmlformats.org/spreadsheetml/2006/main" id="7" name="StateLocalTotResults1617" displayName="StateLocalTotResults1617" ref="E3:G11" totalsRowShown="0" headerRowDxfId="1850" dataDxfId="1848" headerRowBorderDxfId="1849" tableBorderDxfId="1847" totalsRowBorderDxfId="1846">
  <tableColumns count="3">
    <tableColumn id="1" name="Calculations" dataDxfId="1845"/>
    <tableColumn id="2" name="State and Local Total" dataDxfId="1844"/>
    <tableColumn id="3" name="MOE Result" dataDxfId="1843">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6-17" altTextSummary="This table calculates the MOE Result for the State and Local Total method for 2016-17. This table pulls from the Amounts tabs and Exc &amp; Adj tabs to determine the MOE Result."/>
    </ext>
  </extLst>
</table>
</file>

<file path=xl/tables/table56.xml><?xml version="1.0" encoding="utf-8"?>
<table xmlns="http://schemas.openxmlformats.org/spreadsheetml/2006/main" id="11" name="ExcACalcsLocalTot1617" displayName="ExcACalcsLocalTot1617" ref="A16:B22" totalsRowShown="0" headerRowDxfId="1842" dataDxfId="1840" headerRowBorderDxfId="1841" tableBorderDxfId="1839" totalsRowBorderDxfId="1838">
  <tableColumns count="2">
    <tableColumn id="1" name="Year" dataDxfId="1837" dataCellStyle="Comma"/>
    <tableColumn id="2" name="Amount" dataDxfId="1836"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6-17" altTextSummary="This table pulls data from the Exc &amp; Adj tabs to calculate exception (a) for the Local Total method for 2016-17. The table may be blank and blacked out if the LEA meets MOE without exceptions. Rows may be blank and blacked out if the LEA does not need to include all years under the &quot;subsequent years&quot; rule."/>
    </ext>
  </extLst>
</table>
</file>

<file path=xl/tables/table57.xml><?xml version="1.0" encoding="utf-8"?>
<table xmlns="http://schemas.openxmlformats.org/spreadsheetml/2006/main" id="18" name="ExcBCalcsLocalTot1617" displayName="ExcBCalcsLocalTot1617" ref="A25:B31" totalsRowShown="0" headerRowDxfId="1835" dataDxfId="1833" headerRowBorderDxfId="1834" tableBorderDxfId="1832" totalsRowBorderDxfId="1831">
  <tableColumns count="2">
    <tableColumn id="1" name="Year" dataDxfId="1830" dataCellStyle="Comma"/>
    <tableColumn id="2" name="Amount" dataDxfId="1829"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6-17" altTextSummary="This table pulls data from the Exc &amp; Adj tabs to calculate exception (b) for the Local Total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58.xml><?xml version="1.0" encoding="utf-8"?>
<table xmlns="http://schemas.openxmlformats.org/spreadsheetml/2006/main" id="20" name="ExcCCalcsLocalTot1617" displayName="ExcCCalcsLocalTot1617" ref="A38:B44" totalsRowShown="0" headerRowDxfId="1828" dataDxfId="1826" headerRowBorderDxfId="1827" tableBorderDxfId="1825">
  <tableColumns count="2">
    <tableColumn id="1" name="Year" dataDxfId="1824"/>
    <tableColumn id="2" name="Amount" dataDxfId="1823"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6-17" altTextSummary="This table pulls data from the Exc &amp; Adj tabs to calculate exception (c) for the Local Total method for 2016-17. The table may be blank and blacked out if the LEA meets MOE without exceptions. Rows may be blank and blacked out if the LEA does not need to include all years under the &quot;subsequent years&quot; rule."/>
    </ext>
  </extLst>
</table>
</file>

<file path=xl/tables/table59.xml><?xml version="1.0" encoding="utf-8"?>
<table xmlns="http://schemas.openxmlformats.org/spreadsheetml/2006/main" id="21" name="ExcDCalcsLocalTot1617" displayName="ExcDCalcsLocalTot1617" ref="A48:B54" totalsRowShown="0" headerRowDxfId="1822" dataDxfId="1820" headerRowBorderDxfId="1821" tableBorderDxfId="1819" totalsRowBorderDxfId="1818">
  <tableColumns count="2">
    <tableColumn id="1" name="Year" dataDxfId="1817" dataCellStyle="Comma"/>
    <tableColumn id="2" name="Amount" dataDxfId="1816"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6-17" altTextSummary="This table pulls data from the Exc &amp; Adj tabs to calculate exception (d) for the Local Total method for 2016-17. The table may be blank and blacked out if the LEA meets MOE without exceptions. Rows may be blank and blacked out if the LEA does not need to include all years under the &quot;subsequent years&quot; rule."/>
    </ext>
  </extLst>
</table>
</file>

<file path=xl/tables/table60.xml><?xml version="1.0" encoding="utf-8"?>
<table xmlns="http://schemas.openxmlformats.org/spreadsheetml/2006/main" id="22" name="ExcECalcsLocalTot1617" displayName="ExcECalcsLocalTot1617" ref="A58:B64" totalsRowShown="0" headerRowDxfId="1815" dataDxfId="1813" headerRowBorderDxfId="1814" tableBorderDxfId="1812" totalsRowBorderDxfId="1811">
  <tableColumns count="2">
    <tableColumn id="1" name="Year" dataDxfId="1810" dataCellStyle="Comma"/>
    <tableColumn id="2" name="Amount" dataDxfId="1809"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6-17" altTextSummary="This table pulls data from the Exc &amp; Adj tabs to calculate exception (e) for the Local Total method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61.xml><?xml version="1.0" encoding="utf-8"?>
<table xmlns="http://schemas.openxmlformats.org/spreadsheetml/2006/main" id="23" name="AdjCalcsLocalTot1617" displayName="AdjCalcsLocalTot1617" ref="A69:B75" totalsRowShown="0" headerRowDxfId="1808" dataDxfId="1806" headerRowBorderDxfId="1807" tableBorderDxfId="1805" totalsRowBorderDxfId="1804">
  <tableColumns count="2">
    <tableColumn id="1" name="Year" dataDxfId="1803" dataCellStyle="Comma"/>
    <tableColumn id="2" name="Amount" dataDxfId="1802"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6-17" altTextSummary="This table pulls data from the Exc &amp; Adj tabs to calculate the MOE adjustment for the Local Total method for 2016-17. The table may be blank and blacked out if the LEA meets MOE without adjustments. Rows may be blank and blacked out if the LEA does not need to include all years under the &quot;subsequent years&quot; rule."/>
    </ext>
  </extLst>
</table>
</file>

<file path=xl/tables/table62.xml><?xml version="1.0" encoding="utf-8"?>
<table xmlns="http://schemas.openxmlformats.org/spreadsheetml/2006/main" id="100" name="ExcACalcsStateLocalTot1617" displayName="ExcACalcsStateLocalTot1617" ref="E16:F22" totalsRowShown="0" headerRowDxfId="1801" dataDxfId="1799" headerRowBorderDxfId="1800" tableBorderDxfId="1798" totalsRowBorderDxfId="1797">
  <tableColumns count="2">
    <tableColumn id="1" name="Year" dataDxfId="1796" dataCellStyle="Comma"/>
    <tableColumn id="2" name="Amount" dataDxfId="1795"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6-17" altTextSummary="This table pulls data from the Exc &amp; Adj tabs to calculate exception (a) for the State and Local Total method for 2016-17. The table may be blank and blacked out if the LEA meets MOE without exceptions. Rows may be blank and blacked out if the LEA does not need to include all years under the &quot;subsequent years&quot; rule."/>
    </ext>
  </extLst>
</table>
</file>

<file path=xl/tables/table63.xml><?xml version="1.0" encoding="utf-8"?>
<table xmlns="http://schemas.openxmlformats.org/spreadsheetml/2006/main" id="101" name="ExcBCalcsStateLocalTot1617" displayName="ExcBCalcsStateLocalTot1617" ref="E25:F31" totalsRowShown="0" headerRowDxfId="1794" dataDxfId="1792" headerRowBorderDxfId="1793" tableBorderDxfId="1791" totalsRowBorderDxfId="1790">
  <tableColumns count="2">
    <tableColumn id="1" name="Year" dataDxfId="1789" dataCellStyle="Comma"/>
    <tableColumn id="2" name="Amount" dataDxfId="1788"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6-17" altTextSummary="This table pulls data from the Exc &amp; Adj tabs to calculate exception (b) for the State and Local Total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64.xml><?xml version="1.0" encoding="utf-8"?>
<table xmlns="http://schemas.openxmlformats.org/spreadsheetml/2006/main" id="102" name="ExcCCalcsStateLocalTot1617" displayName="ExcCCalcsStateLocalTot1617" ref="E38:F44" totalsRowShown="0" headerRowDxfId="1787" dataDxfId="1785" headerRowBorderDxfId="1786" tableBorderDxfId="1784">
  <tableColumns count="2">
    <tableColumn id="1" name="Year" dataDxfId="1783"/>
    <tableColumn id="2" name="Amount" dataDxfId="1782"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6-17" altTextSummary="This table pulls data from the Exc &amp; Adj tabs to calculate exception (c) for the State and Local Total method for 2016-17. The table may be blank and blacked out if the LEA meets MOE without exceptions. Rows may be blank and blacked out if the LEA does not need to include all years under the &quot;subsequent years&quot; rule."/>
    </ext>
  </extLst>
</table>
</file>

<file path=xl/tables/table65.xml><?xml version="1.0" encoding="utf-8"?>
<table xmlns="http://schemas.openxmlformats.org/spreadsheetml/2006/main" id="103" name="ExcDCalcsStateLocalTot1617" displayName="ExcDCalcsStateLocalTot1617" ref="E48:F54" totalsRowShown="0" headerRowDxfId="1781" dataDxfId="1779" headerRowBorderDxfId="1780" tableBorderDxfId="1778" totalsRowBorderDxfId="1777">
  <tableColumns count="2">
    <tableColumn id="1" name="Year" dataDxfId="1776" dataCellStyle="Comma"/>
    <tableColumn id="2" name="Amount" dataDxfId="1775" dataCellStyle="Currency"/>
  </tableColumns>
  <tableStyleInfo name="TableStyleMedium9" showFirstColumn="0" showLastColumn="0" showRowStripes="0" showColumnStripes="0"/>
  <extLst>
    <ext xmlns:x14="http://schemas.microsoft.com/office/spreadsheetml/2009/9/main" uri="{504A1905-F514-4f6f-8877-14C23A59335A}">
      <x14:table altText="Exceptoin (d) Calculations for State and Local Total method for 2016-17" altTextSummary="This table pulls data from the Exc &amp; Adj tabs to calculate exception (d) for the State and Local Total method for 2016-17. The table may be blank and blacked out if the LEA meets MOE without exceptions. Rows may be blank and blacked out if the LEA does not need to include all years under the &quot;subsequent years&quot; rule."/>
    </ext>
  </extLst>
</table>
</file>

<file path=xl/tables/table66.xml><?xml version="1.0" encoding="utf-8"?>
<table xmlns="http://schemas.openxmlformats.org/spreadsheetml/2006/main" id="104" name="ExcECalcsStateLocalTot1617" displayName="ExcECalcsStateLocalTot1617" ref="E58:F64" totalsRowShown="0" headerRowDxfId="1774" dataDxfId="1772" headerRowBorderDxfId="1773" tableBorderDxfId="1771" totalsRowBorderDxfId="1770">
  <tableColumns count="2">
    <tableColumn id="1" name="Year" dataDxfId="1769" dataCellStyle="Comma"/>
    <tableColumn id="2" name="Amount" dataDxfId="176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6-17" altTextSummary="This table pulls data from the Exc &amp; Adj tabs to calculate exception (e) for the State and Local Total method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67.xml><?xml version="1.0" encoding="utf-8"?>
<table xmlns="http://schemas.openxmlformats.org/spreadsheetml/2006/main" id="105" name="AdjCalcsStateLocalTot1617" displayName="AdjCalcsStateLocalTot1617" ref="E69:F75" totalsRowShown="0" headerRowDxfId="1767" dataDxfId="1765" headerRowBorderDxfId="1766" tableBorderDxfId="1764" totalsRowBorderDxfId="1763">
  <tableColumns count="2">
    <tableColumn id="1" name="Year" dataDxfId="1762" dataCellStyle="Comma"/>
    <tableColumn id="2" name="Amount" dataDxfId="176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6-17" altTextSummary="This table pulls data from the Exc &amp; Adj tabs to calculate the MOE adjustment for the State and Local Total method for 2016-17. The table may be blank and blacked out if the LEA meets MOE without adjustments. Rows may be blank and blacked out if the LEA does not need to include all years under the &quot;subsequent years&quot; rule."/>
    </ext>
  </extLst>
</table>
</file>

<file path=xl/tables/table68.xml><?xml version="1.0" encoding="utf-8"?>
<table xmlns="http://schemas.openxmlformats.org/spreadsheetml/2006/main" id="106" name="ExcACalcsLocalPerCap1617" displayName="ExcACalcsLocalPerCap1617" ref="I16:J22" totalsRowShown="0" headerRowDxfId="1760" dataDxfId="1758" headerRowBorderDxfId="1759" tableBorderDxfId="1757" totalsRowBorderDxfId="1756">
  <tableColumns count="2">
    <tableColumn id="1" name="Year" dataDxfId="1755" dataCellStyle="Comma"/>
    <tableColumn id="2" name="Amount" dataDxfId="1754"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6-17" altTextSummary="This table pulls data from the Exc &amp; Adj tabs to calculate exception (a) for the Local Per Capita method for 2016-17. The table may be blank and blacked out if the LEA meets MOE without exceptions. Rows may be blank and blacked out if the LEA does not need to include all years under the &quot;subsequent years&quot; rule."/>
    </ext>
  </extLst>
</table>
</file>

<file path=xl/tables/table69.xml><?xml version="1.0" encoding="utf-8"?>
<table xmlns="http://schemas.openxmlformats.org/spreadsheetml/2006/main" id="107" name="ExcBCalcsLocalPerCap1617" displayName="ExcBCalcsLocalPerCap1617" ref="I25:J31" totalsRowShown="0" headerRowDxfId="1753" dataDxfId="1751" headerRowBorderDxfId="1752" tableBorderDxfId="1750" totalsRowBorderDxfId="1749">
  <tableColumns count="2">
    <tableColumn id="1" name="Year" dataDxfId="1748" dataCellStyle="Comma"/>
    <tableColumn id="2" name="Amount" dataDxfId="1747"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6-17" altTextSummary="This table pulls data from the Exc &amp; Adj tabs to calculate exception (b) for the Local Per Capita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70.xml><?xml version="1.0" encoding="utf-8"?>
<table xmlns="http://schemas.openxmlformats.org/spreadsheetml/2006/main" id="108" name="ExcCCalcsLocalPerCap1617" displayName="ExcCCalcsLocalPerCap1617" ref="I38:J44" totalsRowShown="0" headerRowDxfId="1746" dataDxfId="1744" headerRowBorderDxfId="1745" tableBorderDxfId="1743">
  <tableColumns count="2">
    <tableColumn id="1" name="Year" dataDxfId="1742"/>
    <tableColumn id="2" name="Amount" dataDxfId="174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6-17" altTextSummary="This table pulls data from the Exc &amp; Adj tabs to calculate exception (c) for the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1.xml><?xml version="1.0" encoding="utf-8"?>
<table xmlns="http://schemas.openxmlformats.org/spreadsheetml/2006/main" id="109" name="ExcDCalcsLocalPerCap1617" displayName="ExcDCalcsLocalPerCap1617" ref="I48:J54" totalsRowShown="0" headerRowDxfId="1740" dataDxfId="1738" headerRowBorderDxfId="1739" tableBorderDxfId="1737" totalsRowBorderDxfId="1736">
  <tableColumns count="2">
    <tableColumn id="1" name="Year" dataDxfId="1735" dataCellStyle="Comma"/>
    <tableColumn id="2" name="Amount" dataDxfId="173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6-17" altTextSummary="This table pulls data from the Exc &amp; Adj tabs to calculate exception (d) for the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2.xml><?xml version="1.0" encoding="utf-8"?>
<table xmlns="http://schemas.openxmlformats.org/spreadsheetml/2006/main" id="110" name="ExcECalcsLocalPerCap1617" displayName="ExcECalcsLocalPerCap1617" ref="I58:J64" totalsRowShown="0" headerRowDxfId="1733" headerRowBorderDxfId="1732" tableBorderDxfId="1731" totalsRowBorderDxfId="1730">
  <tableColumns count="2">
    <tableColumn id="1" name="Year" dataDxfId="1729" dataCellStyle="Comma"/>
    <tableColumn id="2" name="Amount" dataDxfId="172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6-17" altTextSummary="This table pulls data from the Exc &amp; Adj tabs to calculate exception (e) for the Local Per Capita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73.xml><?xml version="1.0" encoding="utf-8"?>
<table xmlns="http://schemas.openxmlformats.org/spreadsheetml/2006/main" id="111" name="AdjCalcsLocalPerCap1617" displayName="AdjCalcsLocalPerCap1617" ref="I70:J76" totalsRowShown="0" headerRowDxfId="1727" dataDxfId="1725" headerRowBorderDxfId="1726" tableBorderDxfId="1724" totalsRowBorderDxfId="1723">
  <tableColumns count="2">
    <tableColumn id="1" name="Year" dataDxfId="1722" dataCellStyle="Comma"/>
    <tableColumn id="2" name="Amount" dataDxfId="172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6-17" altTextSummary="This table pulls data from the Exc &amp; Adj tabs to calculate the MOE adjustment for the Local Per Capita method for 2016-17. The table may be blank and blacked out if the LEA meets MOE without adjustments. Rows may be blank and blacked out if the LEA does not need to include all years under the &quot;subsequent years&quot; rule."/>
    </ext>
  </extLst>
</table>
</file>

<file path=xl/tables/table74.xml><?xml version="1.0" encoding="utf-8"?>
<table xmlns="http://schemas.openxmlformats.org/spreadsheetml/2006/main" id="114" name="LocalPerCapResults1617" displayName="LocalPerCapResults1617" ref="I3:K11" totalsRowShown="0" headerRowDxfId="1720" dataDxfId="1719" tableBorderDxfId="1718">
  <tableColumns count="3">
    <tableColumn id="1" name="Calculations" dataDxfId="1717"/>
    <tableColumn id="2" name="Local Per Capita" dataDxfId="1716" dataCellStyle="Currency"/>
    <tableColumn id="3" name="MOE Result" dataDxfId="1715"/>
  </tableColumns>
  <tableStyleInfo name="TableStyleMedium9" showFirstColumn="0" showLastColumn="0" showRowStripes="1" showColumnStripes="0"/>
  <extLst>
    <ext xmlns:x14="http://schemas.microsoft.com/office/spreadsheetml/2009/9/main" uri="{504A1905-F514-4f6f-8877-14C23A59335A}">
      <x14:table altText="Local Per Capita MOE Results for 2016-17" altTextSummary="This table calculates the MOE Result for the Local Per Capita method for 2016-17. This table pulls from the Amounts tabs and Exc &amp; Adj tabs to determine the MOE Result."/>
    </ext>
  </extLst>
</table>
</file>

<file path=xl/tables/table75.xml><?xml version="1.0" encoding="utf-8"?>
<table xmlns="http://schemas.openxmlformats.org/spreadsheetml/2006/main" id="115" name="StateLocalPerCapResults1617" displayName="StateLocalPerCapResults1617" ref="M3:O11" totalsRowShown="0" headerRowDxfId="1714" dataDxfId="1713" tableBorderDxfId="1712">
  <tableColumns count="3">
    <tableColumn id="1" name="Calculations" dataDxfId="1711"/>
    <tableColumn id="2" name="State &amp; Local Per Capita" dataDxfId="1710" dataCellStyle="Currency"/>
    <tableColumn id="3" name="MOE Result" dataDxfId="1709"/>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6-17" altTextSummary="This table calculates the MOE Result for the State and Local Per Capita method for 2016-17. This table pulls from the Amounts tabs and Exc &amp; Adj tabs to determine the MOE Result."/>
    </ext>
  </extLst>
</table>
</file>

<file path=xl/tables/table76.xml><?xml version="1.0" encoding="utf-8"?>
<table xmlns="http://schemas.openxmlformats.org/spreadsheetml/2006/main" id="116" name="ExcACalcsStateLocalPerCap1617" displayName="ExcACalcsStateLocalPerCap1617" ref="M16:N22" totalsRowShown="0" headerRowDxfId="1708" dataDxfId="1706" headerRowBorderDxfId="1707" tableBorderDxfId="1705" totalsRowBorderDxfId="1704">
  <tableColumns count="2">
    <tableColumn id="1" name="Year" dataDxfId="1703" dataCellStyle="Comma"/>
    <tableColumn id="2" name="Amount" dataDxfId="1702"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6-17" altTextSummary="This table pulls data from the Exc &amp; Adj tabs to calculate exception (a) for the State and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7.xml><?xml version="1.0" encoding="utf-8"?>
<table xmlns="http://schemas.openxmlformats.org/spreadsheetml/2006/main" id="117" name="ExcBCalcsStateLocalPerCap1617" displayName="ExcBCalcsStateLocalPerCap1617" ref="M25:N31" totalsRowShown="0" headerRowDxfId="1701" dataDxfId="1699" headerRowBorderDxfId="1700" tableBorderDxfId="1698" totalsRowBorderDxfId="1697">
  <tableColumns count="2">
    <tableColumn id="1" name="Year" dataDxfId="1696" dataCellStyle="Comma"/>
    <tableColumn id="2" name="Amount" dataDxfId="1695"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6-17" altTextSummary="This table pulls data from the Exc &amp; Adj tabs to calculate exception (b) for the State and Local Per Capita method for 2016-17.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78.xml><?xml version="1.0" encoding="utf-8"?>
<table xmlns="http://schemas.openxmlformats.org/spreadsheetml/2006/main" id="118" name="ExcCCalcsStateLocalPerCap1617" displayName="ExcCCalcsStateLocalPerCap1617" ref="M38:N44" totalsRowShown="0" headerRowDxfId="1694" dataDxfId="1692" headerRowBorderDxfId="1693" tableBorderDxfId="1691">
  <tableColumns count="2">
    <tableColumn id="1" name="Year" dataDxfId="1690"/>
    <tableColumn id="2" name="Amount" dataDxfId="1689"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6-17" altTextSummary="This table pulls data from the Exc &amp; Adj tabs to calculate exception (c) for the State and Local Per Capita method for 2016-17. The table may be blank and blacked out if the LEA meets MOE without exceptions. Rows may be blank and blacked out if the LEA does not need to include all years under the &quot;subsequent years&quot; rule."/>
    </ext>
  </extLst>
</table>
</file>

<file path=xl/tables/table79.xml><?xml version="1.0" encoding="utf-8"?>
<table xmlns="http://schemas.openxmlformats.org/spreadsheetml/2006/main" id="119" name="ExcDCalcsStateLocalPerCap1617" displayName="ExcDCalcsStateLocalPerCap1617" ref="M48:N54" totalsRowShown="0" headerRowDxfId="1688" dataDxfId="1686" headerRowBorderDxfId="1687" tableBorderDxfId="1685" totalsRowBorderDxfId="1684">
  <tableColumns count="2">
    <tableColumn id="1" name="Year" dataDxfId="1683" dataCellStyle="Comma"/>
    <tableColumn id="2" name="Amount" dataDxfId="1682"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6-17" altTextSummary="This table pulls data from the Exc &amp; Adj tabs to calculate exception (d) for the State and Local Per Capita method for 2016-17. The table may be blank and blacked out if the LEA meets MOE without exceptions. Rows may be blank and blacked out if the LEA does not need to include all years under the &quot;subsequent years&quot; rule."/>
    </ext>
  </extLst>
</table>
</file>

<file path=xl/tables/table80.xml><?xml version="1.0" encoding="utf-8"?>
<table xmlns="http://schemas.openxmlformats.org/spreadsheetml/2006/main" id="120" name="ExcECalcsStateLocalPerCap1617" displayName="ExcECalcsStateLocalPerCap1617" ref="M58:N64" totalsRowShown="0" headerRowDxfId="1681" headerRowBorderDxfId="1680" tableBorderDxfId="1679" totalsRowBorderDxfId="1678">
  <tableColumns count="2">
    <tableColumn id="1" name="Year" dataDxfId="1677" dataCellStyle="Comma"/>
    <tableColumn id="2" name="Amount" dataDxfId="1676"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6-17" altTextSummary="This table pulls data from the Exc &amp; Adj tabs to calculate exception (e) for the State and Local Per Capita method for 2016-17.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81.xml><?xml version="1.0" encoding="utf-8"?>
<table xmlns="http://schemas.openxmlformats.org/spreadsheetml/2006/main" id="121" name="AdjCalcsStateLocalPerCap1617" displayName="AdjCalcsStateLocalPerCap1617" ref="M70:N76" totalsRowShown="0" headerRowDxfId="1675" dataDxfId="1673" headerRowBorderDxfId="1674" tableBorderDxfId="1672" totalsRowBorderDxfId="1671">
  <tableColumns count="2">
    <tableColumn id="1" name="Year" dataDxfId="1670" dataCellStyle="Comma"/>
    <tableColumn id="2" name="Amount" dataDxfId="166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6-17" altTextSummary="This table pulls data from the Exc &amp; Adj tabs to calculate the MOE adjustment for the State and Local Per Capita method for 2016-17. The table may be blank and blacked out if the LEA meets MOE without adjustments. Rows may be blank and blacked out if the LEA does not need to include all years under the &quot;subsequent years&quot; rule."/>
    </ext>
  </extLst>
</table>
</file>

<file path=xl/tables/table82.xml><?xml version="1.0" encoding="utf-8"?>
<table xmlns="http://schemas.openxmlformats.org/spreadsheetml/2006/main" id="2" name="ExcADepartingData1617Budget" displayName="ExcADepartingData1617Budget" ref="A6:F12" totalsRowShown="0" headerRowDxfId="1658" dataDxfId="1656" headerRowBorderDxfId="1657" tableBorderDxfId="1655">
  <tableColumns count="6">
    <tableColumn id="1" name="Position Title" dataDxfId="1654"/>
    <tableColumn id="2" name="Employee Name" dataDxfId="1653"/>
    <tableColumn id="3" name="Reason for Leaving" dataDxfId="1652"/>
    <tableColumn id="4" name="Salary" dataDxfId="1651" dataCellStyle="Currency"/>
    <tableColumn id="5" name="Benefits" dataDxfId="1650" dataCellStyle="Currency"/>
    <tableColumn id="8" name="Total Budget" dataDxfId="1649"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6-17 Eligiblity Standard" altTextSummary="Users can enter data in this table for any departing personnel projected for 2016-17. This table is for the eligiblity standard and is based on budget amounts."/>
    </ext>
  </extLst>
</table>
</file>

<file path=xl/tables/table83.xml><?xml version="1.0" encoding="utf-8"?>
<table xmlns="http://schemas.openxmlformats.org/spreadsheetml/2006/main" id="12" name="ExcAReplaceData1617Budget" displayName="ExcAReplaceData1617Budget" ref="A14:F20" totalsRowShown="0" headerRowDxfId="1648" dataDxfId="1646" headerRowBorderDxfId="1647" tableBorderDxfId="1645">
  <tableColumns count="6">
    <tableColumn id="1" name="Position Title" dataDxfId="1644"/>
    <tableColumn id="2" name="Employee Name" dataDxfId="1643"/>
    <tableColumn id="3" name="Column1" dataDxfId="1642"/>
    <tableColumn id="4" name="Salary" dataDxfId="1641" dataCellStyle="Currency"/>
    <tableColumn id="5" name="Benefits" dataDxfId="1640" dataCellStyle="Currency"/>
    <tableColumn id="8" name="Total Budget" dataDxfId="1639"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6-17 Eligiblity Standard" altTextSummary="Users can enter data in this table for any replacement personnel projected for 2016-17. This table is for the eligiblity standard and is based on budget amounts."/>
    </ext>
  </extLst>
</table>
</file>

<file path=xl/tables/table84.xml><?xml version="1.0" encoding="utf-8"?>
<table xmlns="http://schemas.openxmlformats.org/spreadsheetml/2006/main" id="16" name="ExcDData1617Budget" displayName="ExcDData1617Budget" ref="A50:B56" totalsRowShown="0" headerRowDxfId="1638" dataDxfId="1636" headerRowBorderDxfId="1637" tableBorderDxfId="1635">
  <tableColumns count="2">
    <tableColumn id="1" name="Description" dataDxfId="1634"/>
    <tableColumn id="2" name="Budgeted Cost in Final Year" dataDxfId="1633"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6-17 Eligiblity Standard" altTextSummary="Users can enter data in this table for the projected termination of costly expenditures for long-term purchases for 2016-17. This table is for the eligiblity standard and is based on budget amounts."/>
    </ext>
  </extLst>
</table>
</file>

<file path=xl/tables/table85.xml><?xml version="1.0" encoding="utf-8"?>
<table xmlns="http://schemas.openxmlformats.org/spreadsheetml/2006/main" id="19" name="AdjData1617Budget" displayName="AdjData1617Budget" ref="A69:B70" totalsRowShown="0" headerRowDxfId="1632" dataDxfId="1630" headerRowBorderDxfId="1631" tableBorderDxfId="1629" totalsRowBorderDxfId="1628">
  <tableColumns count="2">
    <tableColumn id="1" name="Column1" dataDxfId="1627"/>
    <tableColumn id="2" name="Projected Adjustment" dataDxfId="1626">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6-17 Eligiblity Standard" altTextSummary="Users can enter data in this table for the projected Adjustment to MOE for 2016-17. This table is for the eligiblity standard and is based on budget amounts. Use IDC's MOE Reduction Decision Tree and Calculator to determine the adjustment amount."/>
    </ext>
  </extLst>
</table>
</file>

<file path=xl/tables/table86.xml><?xml version="1.0" encoding="utf-8"?>
<table xmlns="http://schemas.openxmlformats.org/spreadsheetml/2006/main" id="4" name="ExcCData1617Budget" displayName="ExcCData1617Budget" ref="A40:C46" totalsRowShown="0" headerRowDxfId="1625" dataDxfId="1624" tableBorderDxfId="1623">
  <tableColumns count="3">
    <tableColumn id="1" name="Student Identifier" dataDxfId="1622"/>
    <tableColumn id="2" name="Reason" dataDxfId="1621"/>
    <tableColumn id="3" name="Budgeted Cost" dataDxfId="1620"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6-17 Eligiblity Standard" altTextSummary="Users can enter data in this table for the projected termination of the obligation to provide special education to a particular student that is an exceptionally costly program projected for 2016-17. This table is for the eligiblity standard and is based on budget amounts."/>
    </ext>
  </extLst>
</table>
</file>

<file path=xl/tables/table87.xml><?xml version="1.0" encoding="utf-8"?>
<table xmlns="http://schemas.openxmlformats.org/spreadsheetml/2006/main" id="5" name="ExcEData1617Budget" displayName="ExcEData1617Budget" ref="A60:B66" totalsRowShown="0" headerRowDxfId="1619" tableBorderDxfId="1618">
  <tableColumns count="2">
    <tableColumn id="1" name="Student Identifier" dataDxfId="1617"/>
    <tableColumn id="2" name="Budgeted Cost Assumed by SEA" dataDxfId="161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6-17 Eligibility Standard" altTextSummary="Users can enter data for the projected assumption of cost by the high cost fund operated by the SEA for for 2016-17. This table is for the eligiblity standard and uses budget data. The table will be blank and blacked out if the SEA does not have a high cost fund under §300.704."/>
    </ext>
  </extLst>
</table>
</file>

<file path=xl/tables/table88.xml><?xml version="1.0" encoding="utf-8"?>
<table xmlns="http://schemas.openxmlformats.org/spreadsheetml/2006/main" id="9" name="ExcBAutoEnrollmentData1617Budget" displayName="ExcBAutoEnrollmentData1617Budget" ref="A28:B32" totalsRowShown="0" headerRowDxfId="1615" dataDxfId="1614">
  <tableColumns count="2">
    <tableColumn id="1" name="Column1" dataDxfId="1613"/>
    <tableColumn id="2" name="Column2" dataDxfId="161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6-17 Eligiblity Standard" altTextSummary="This table automatically calculates the change in enrollment for 2016-17 to determine whether the LEA can apply exception (b). This table is for the eligiblity standard."/>
    </ext>
  </extLst>
</table>
</file>

<file path=xl/tables/table89.xml><?xml version="1.0" encoding="utf-8"?>
<table xmlns="http://schemas.openxmlformats.org/spreadsheetml/2006/main" id="10" name="ExcBAutoReductionData1617Budget" displayName="ExcBAutoReductionData1617Budget" ref="A33:C35" totalsRowShown="0" headerRowDxfId="1611" dataDxfId="1609" headerRowBorderDxfId="1610" tableBorderDxfId="1608" totalsRowBorderDxfId="1607" headerRowCellStyle="Percent">
  <tableColumns count="3">
    <tableColumn id="1" name="Column1" dataDxfId="1606"/>
    <tableColumn id="2" name="Local Total" dataDxfId="1605">
      <calculatedColumnFormula>IF(B30&gt;=0,"",B31*B33)</calculatedColumnFormula>
    </tableColumn>
    <tableColumn id="3" name="State and Local Total" dataDxfId="1604">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ation Autocalculations for 2016-16 Eligiblity Standard" altTextSummary="This table automatically calculates the projected reduction based on a decrease in enrollment for 2016-17. This table is for the eligiblity standard and uses budget data. The table will be blank and blacked out if there is no decrease in enrollment or if the user selected manual entry for exception (b)."/>
    </ext>
  </extLst>
</table>
</file>

<file path=xl/tables/table90.xml><?xml version="1.0" encoding="utf-8"?>
<table xmlns="http://schemas.openxmlformats.org/spreadsheetml/2006/main" id="15" name="ExcBManualData1617Budget" displayName="ExcBManualData1617Budget" ref="A24:E25" totalsRowShown="0" headerRowDxfId="1603" dataDxfId="1601" headerRowBorderDxfId="1602" tableBorderDxfId="1600" totalsRowBorderDxfId="1599" headerRowCellStyle="Percent">
  <tableColumns count="5">
    <tableColumn id="1" name="Column1" dataDxfId="1598">
      <calculatedColumnFormula>IF(B31="","Projected Reduction",IF(B31&lt;0,"Projected Reduction",IF(B31&gt;=0,"Not eligible for this exception","Projected Reduction")))</calculatedColumnFormula>
    </tableColumn>
    <tableColumn id="2" name="Local Total" dataDxfId="1597"/>
    <tableColumn id="3" name="State and Local Total" dataDxfId="1596"/>
    <tableColumn id="4" name="Local Per Capita" dataDxfId="1595"/>
    <tableColumn id="5" name="State and Local Per Capita" dataDxfId="159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6-17 Eligibility Standard" altTextSummary="If users prefer to use their own method to calculate the reduction for exception (b), they can use this table for any projected reduction in 2016-17. This table is for the eligiblity standard and is based on budget amounts. This table will be blank and blacked out if users selected auto-calculation of exception (b) on the Getting Started tab or if there is no decrease in enrollment."/>
    </ext>
  </extLst>
</table>
</file>

<file path=xl/tables/table91.xml><?xml version="1.0" encoding="utf-8"?>
<table xmlns="http://schemas.openxmlformats.org/spreadsheetml/2006/main" id="45" name="ExcADepartingData1617Expenditures" displayName="ExcADepartingData1617Expenditures" ref="H6:M12" totalsRowShown="0" headerRowDxfId="1593" dataDxfId="1591" headerRowBorderDxfId="1592" tableBorderDxfId="1590">
  <tableColumns count="6">
    <tableColumn id="1" name="Position Title" dataDxfId="1589"/>
    <tableColumn id="2" name="Employee Name" dataDxfId="1588"/>
    <tableColumn id="3" name="Reason for Leaving" dataDxfId="1587"/>
    <tableColumn id="4" name="Salary" dataDxfId="1586" dataCellStyle="Currency"/>
    <tableColumn id="5" name="Benefits" dataDxfId="1585" dataCellStyle="Currency"/>
    <tableColumn id="8" name="Total Expenditures" dataDxfId="1584"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6-17 Compliance Standard" altTextSummary="Users can enter data in this table for any departing personnel for 2016-17. This table is for the compliance standard and is based on final expenditures."/>
    </ext>
  </extLst>
</table>
</file>

<file path=xl/tables/table92.xml><?xml version="1.0" encoding="utf-8"?>
<table xmlns="http://schemas.openxmlformats.org/spreadsheetml/2006/main" id="46" name="ExcAReplaceData1617Expenditures" displayName="ExcAReplaceData1617Expenditures" ref="H14:M20" totalsRowShown="0" headerRowDxfId="1583" dataDxfId="1581" headerRowBorderDxfId="1582" tableBorderDxfId="1580">
  <tableColumns count="6">
    <tableColumn id="1" name="Position Title" dataDxfId="1579"/>
    <tableColumn id="2" name="Employee Name" dataDxfId="1578"/>
    <tableColumn id="3" name="Column1" dataDxfId="1577"/>
    <tableColumn id="4" name="Salary" dataDxfId="1576" dataCellStyle="Currency"/>
    <tableColumn id="5" name="Benefits" dataDxfId="1575" dataCellStyle="Currency"/>
    <tableColumn id="8" name="Total Expenditures" dataDxfId="1574"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6-17 Compliance Standard" altTextSummary="Users can enter data in this table for any replacement personnel for 2016-17. This table is for the compliance standard and is based on final expenditures."/>
    </ext>
  </extLst>
</table>
</file>

<file path=xl/tables/table93.xml><?xml version="1.0" encoding="utf-8"?>
<table xmlns="http://schemas.openxmlformats.org/spreadsheetml/2006/main" id="47" name="ExcDData1617Expenditures" displayName="ExcDData1617Expenditures" ref="H50:I56" totalsRowShown="0" headerRowDxfId="1573" dataDxfId="1571" headerRowBorderDxfId="1572" tableBorderDxfId="1570">
  <tableColumns count="2">
    <tableColumn id="1" name="Description" dataDxfId="1569"/>
    <tableColumn id="2" name="Cost in Final Year of Expenditure" dataDxfId="1568"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6-17 Compliance Standard" altTextSummary="Users can enter data in this table for the termination of costly expenditures for long-term purchases for 2016-17. This table is for the compliance standard and is based on final expenditures."/>
    </ext>
  </extLst>
</table>
</file>

<file path=xl/tables/table94.xml><?xml version="1.0" encoding="utf-8"?>
<table xmlns="http://schemas.openxmlformats.org/spreadsheetml/2006/main" id="48" name="AdjData1617Expenditures" displayName="AdjData1617Expenditures" ref="H69:I70" totalsRowShown="0" headerRowDxfId="1567" dataDxfId="1565" headerRowBorderDxfId="1566" tableBorderDxfId="1564" totalsRowBorderDxfId="1563">
  <tableColumns count="2">
    <tableColumn id="1" name="Column1" dataDxfId="1562"/>
    <tableColumn id="2" name="Adjustment" dataDxfId="1561">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6-17 Compliance Standard" altTextSummary="Users can enter data in this table for the Adjustment to MOE for 2016-17. This table is for the compliance standard and is based on final expenditures. Use IDC's MOE Reduction Decision Tree and Calculator to determine the adjustment amount."/>
    </ext>
  </extLst>
</table>
</file>

<file path=xl/tables/table95.xml><?xml version="1.0" encoding="utf-8"?>
<table xmlns="http://schemas.openxmlformats.org/spreadsheetml/2006/main" id="49" name="ExcCData1617Expenditures" displayName="ExcCData1617Expenditures" ref="H40:J46" totalsRowShown="0" headerRowDxfId="1560" dataDxfId="1559" tableBorderDxfId="1558">
  <tableColumns count="3">
    <tableColumn id="1" name="Student Identifier" dataDxfId="1557"/>
    <tableColumn id="2" name="Reason" dataDxfId="1556"/>
    <tableColumn id="3" name="Expenditures" dataDxfId="1555"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6-17 Compliance Standard" altTextSummary="Users can enter data in this table for the termination of the obligation to provide special education to a particular student that is an exceptionally costly program projected for 2016-17. This table is for the compliance standard and is based on final expenditures."/>
    </ext>
  </extLst>
</table>
</file>

<file path=xl/tables/table96.xml><?xml version="1.0" encoding="utf-8"?>
<table xmlns="http://schemas.openxmlformats.org/spreadsheetml/2006/main" id="50" name="ExcEData1617Expenditures" displayName="ExcEData1617Expenditures" ref="H60:I66" totalsRowShown="0" headerRowDxfId="1554" tableBorderDxfId="1553">
  <tableColumns count="2">
    <tableColumn id="1" name="Student Identifier" dataDxfId="1552"/>
    <tableColumn id="2" name="Cost Assumed by SEA" dataDxfId="1551"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6-17 Compliance Standard" altTextSummary="Users can enter data for the assumption of cost by the high cost fund operated by the SEA for for 2016-17. This table is for the compliance standard and uses final expenditures. The table will be blank and blacked out if the SEA does not have a high cost fund under §300.704."/>
    </ext>
  </extLst>
</table>
</file>

<file path=xl/tables/table97.xml><?xml version="1.0" encoding="utf-8"?>
<table xmlns="http://schemas.openxmlformats.org/spreadsheetml/2006/main" id="51" name="ExcBAutoEnrollmentData1617Expenditures" displayName="ExcBAutoEnrollmentData1617Expenditures" ref="H28:I32" totalsRowShown="0" headerRowDxfId="1550" dataDxfId="1549">
  <tableColumns count="2">
    <tableColumn id="1" name="Column1" dataDxfId="1548"/>
    <tableColumn id="2" name="Column2" dataDxfId="1547"/>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6-17 Compliance Standard" altTextSummary="This table automatically calculates the change in enrollment for 2016-17 to determine whether the LEA can apply exception (b). This table is for the compliance standard."/>
    </ext>
  </extLst>
</table>
</file>

<file path=xl/tables/table98.xml><?xml version="1.0" encoding="utf-8"?>
<table xmlns="http://schemas.openxmlformats.org/spreadsheetml/2006/main" id="52" name="ExcBAutoReductionData1617Expenditures" displayName="ExcBAutoReductionData1617Expenditures" ref="H33:J35" totalsRowShown="0" headerRowDxfId="1546" dataDxfId="1544" headerRowBorderDxfId="1545" tableBorderDxfId="1543" totalsRowBorderDxfId="1542" headerRowCellStyle="Percent">
  <tableColumns count="3">
    <tableColumn id="1" name="Column1" dataDxfId="1541"/>
    <tableColumn id="2" name="Local Total" dataDxfId="1540"/>
    <tableColumn id="3" name="State and Local Total" dataDxfId="1539"/>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6-17 Compliance Standard" altTextSummary="This table automatically calculates the reduction based on a decrease in enrollment for 2016-17. This table is for the compliance standard and uses final expenditures. The table will be blank and blacked out if there is no decrease in enrollment or if the user selected manual entry for exception (b)."/>
    </ext>
  </extLst>
</table>
</file>

<file path=xl/tables/table99.xml><?xml version="1.0" encoding="utf-8"?>
<table xmlns="http://schemas.openxmlformats.org/spreadsheetml/2006/main" id="53" name="ExcBManualData1617Expenditures" displayName="ExcBManualData1617Expenditures" ref="H24:L25" totalsRowShown="0" headerRowDxfId="1538" dataDxfId="1536" headerRowBorderDxfId="1537" tableBorderDxfId="1535" totalsRowBorderDxfId="1534" headerRowCellStyle="Percent">
  <tableColumns count="5">
    <tableColumn id="1" name="Column1" dataDxfId="1533">
      <calculatedColumnFormula>IF(I31="","Allowed Reduction",IF(I31&lt;0,"Allowed Reduction",IF(I31&gt;=0,"Not eligible for this exception","Allowed Reduction")))</calculatedColumnFormula>
    </tableColumn>
    <tableColumn id="2" name="Local Total" dataDxfId="1532"/>
    <tableColumn id="3" name="State and Local Total" dataDxfId="1531"/>
    <tableColumn id="4" name="Local Per Capita" dataDxfId="1530"/>
    <tableColumn id="5" name="State and Local Per Capita" dataDxfId="1529"/>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6-17 Compliance Standard" altTextSummary="If users prefer to use their own method to calculate the reduction for exception (b), they can use this table for any reduction in 2016-17.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00.xml><?xml version="1.0" encoding="utf-8"?>
<table xmlns="http://schemas.openxmlformats.org/spreadsheetml/2006/main" id="25" name="Budget1718" displayName="Budget1718" ref="A4:F31" totalsRowShown="0" headerRowDxfId="1527" dataDxfId="1526" tableBorderDxfId="1525">
  <tableColumns count="6">
    <tableColumn id="1" name="Object Description" dataDxfId="1524"/>
    <tableColumn id="2" name="Code" dataDxfId="1523"/>
    <tableColumn id="7" name="Code 2" dataDxfId="1522"/>
    <tableColumn id="3" name="Local" dataDxfId="1521" dataCellStyle="Currency"/>
    <tableColumn id="4" name="State" dataDxfId="1520" dataCellStyle="Currency"/>
    <tableColumn id="5" name="State and Local" dataDxfId="1519"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7-18" altTextSummary="In this table, users will enter their budget amounts for 2017-18. The column headers for the first three columns are unlocked and can be edited. If the LEA cannot separately budget for state and local funds, the &quot;Local&quot; column will be blacked out and is unavailable for data entry."/>
    </ext>
  </extLst>
</table>
</file>

<file path=xl/tables/table101.xml><?xml version="1.0" encoding="utf-8"?>
<table xmlns="http://schemas.openxmlformats.org/spreadsheetml/2006/main" id="30" name="Expenditures1718" displayName="Expenditures1718" ref="H4:M31" totalsRowShown="0" headerRowDxfId="1518" dataDxfId="1517" tableBorderDxfId="1516">
  <tableColumns count="6">
    <tableColumn id="1" name="Object Description" dataDxfId="1515"/>
    <tableColumn id="2" name="Code" dataDxfId="1514"/>
    <tableColumn id="6" name="Code 2" dataDxfId="1513"/>
    <tableColumn id="3" name="Local" dataDxfId="1512" dataCellStyle="Currency"/>
    <tableColumn id="4" name="State" dataDxfId="1511" dataCellStyle="Currency"/>
    <tableColumn id="5" name="State and Local" dataDxfId="151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7-18" altTextSummary="In this table, users will enter the LEA's final expendituresfor 2017-18. The column headers for the first three columns are unlocked and can be edited. If the LEA cannot separately budget for state and local funds, the &quot;Local&quot; column will be blacked out and is unavailable for data entry."/>
    </ext>
  </extLst>
</table>
</file>

<file path=xl/tables/table102.xml><?xml version="1.0" encoding="utf-8"?>
<table xmlns="http://schemas.openxmlformats.org/spreadsheetml/2006/main" id="44" name="LocalTotResults1718" displayName="LocalTotResults1718" ref="A3:C11" totalsRowShown="0" headerRowDxfId="1447" dataDxfId="1445" headerRowBorderDxfId="1446" tableBorderDxfId="1444" totalsRowBorderDxfId="1443">
  <tableColumns count="3">
    <tableColumn id="1" name="Calculations" dataDxfId="1442"/>
    <tableColumn id="2" name="Local  Total" dataDxfId="1441"/>
    <tableColumn id="3" name="MOE Result" dataDxfId="1440">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7-18" altTextSummary="This table calculates the MOE Result for the Local Total method for 2017-18. This table pulls from the Amounts tabs and Exc &amp; Adj tabs to determine the MOE Result."/>
    </ext>
  </extLst>
</table>
</file>

<file path=xl/tables/table103.xml><?xml version="1.0" encoding="utf-8"?>
<table xmlns="http://schemas.openxmlformats.org/spreadsheetml/2006/main" id="54" name="StateLocalTotResults1718" displayName="StateLocalTotResults1718" ref="E3:G11" totalsRowShown="0" headerRowDxfId="1439" dataDxfId="1437" headerRowBorderDxfId="1438" tableBorderDxfId="1436" totalsRowBorderDxfId="1435">
  <tableColumns count="3">
    <tableColumn id="1" name="Calculations" dataDxfId="1434"/>
    <tableColumn id="2" name="State and Local Total" dataDxfId="1433"/>
    <tableColumn id="3" name="MOE Result" dataDxfId="1432">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7-18" altTextSummary="This table calculates the MOE Result for the State and Local Total method for 2017-18. This table pulls from the Amounts tabs and Exc &amp; Adj tabs to determine the MOE Result."/>
    </ext>
  </extLst>
</table>
</file>

<file path=xl/tables/table104.xml><?xml version="1.0" encoding="utf-8"?>
<table xmlns="http://schemas.openxmlformats.org/spreadsheetml/2006/main" id="135" name="ExcACalcsLocalTot1718" displayName="ExcACalcsLocalTot1718" ref="A16:B23" totalsRowShown="0" headerRowDxfId="1431" dataDxfId="1429" headerRowBorderDxfId="1430" tableBorderDxfId="1428" totalsRowBorderDxfId="1427">
  <tableColumns count="2">
    <tableColumn id="1" name="Year" dataDxfId="1426" dataCellStyle="Comma"/>
    <tableColumn id="2" name="Amount" dataDxfId="1425"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5-16" altTextSummary="This table pulls data from the Exc &amp; Adj tabs to calculate exception (a) for the Local Total method for 2017-18. The table may be blank and blacked out if the LEA meets MOE without exceptions. Rows may be blank and blacked out if the LEA does not need to include all years under the &quot;subsequent years&quot; rule."/>
    </ext>
  </extLst>
</table>
</file>

<file path=xl/tables/table105.xml><?xml version="1.0" encoding="utf-8"?>
<table xmlns="http://schemas.openxmlformats.org/spreadsheetml/2006/main" id="136" name="ExcBCalcsLocalTot1718" displayName="ExcBCalcsLocalTot1718" ref="A26:B33" totalsRowShown="0" headerRowDxfId="1424" dataDxfId="1422" headerRowBorderDxfId="1423" tableBorderDxfId="1421" totalsRowBorderDxfId="1420">
  <tableColumns count="2">
    <tableColumn id="1" name="Year" dataDxfId="1419" dataCellStyle="Comma"/>
    <tableColumn id="2" name="Amount" dataDxfId="1418"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7-18" altTextSummary="This table pulls data from the Exc &amp; Adj tabs to calculate exception (b) for the Local Total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06.xml><?xml version="1.0" encoding="utf-8"?>
<table xmlns="http://schemas.openxmlformats.org/spreadsheetml/2006/main" id="137" name="ExcCCalcsLocalTot1718" displayName="ExcCCalcsLocalTot1718" ref="A40:B47" totalsRowShown="0" headerRowDxfId="1417" dataDxfId="1415" headerRowBorderDxfId="1416" tableBorderDxfId="1414" totalsRowBorderDxfId="1413">
  <tableColumns count="2">
    <tableColumn id="1" name="Year" dataDxfId="1412" dataCellStyle="Comma"/>
    <tableColumn id="2" name="Amount" dataDxfId="141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7-18" altTextSummary="This table pulls data from the Exc &amp; Adj tabs to calculate exception (c) for the Local Total method for 2017-18. The table may be blank and blacked out if the LEA meets MOE without exceptions. Rows may be blank and blacked out if the LEA does not need to include all years under the &quot;subsequent years&quot; rule."/>
    </ext>
  </extLst>
</table>
</file>

<file path=xl/tables/table107.xml><?xml version="1.0" encoding="utf-8"?>
<table xmlns="http://schemas.openxmlformats.org/spreadsheetml/2006/main" id="138" name="ExcDCalcsLocalTot1718" displayName="ExcDCalcsLocalTot1718" ref="A51:B58" totalsRowShown="0" headerRowDxfId="1410" dataDxfId="1408" headerRowBorderDxfId="1409" tableBorderDxfId="1407" totalsRowBorderDxfId="1406">
  <tableColumns count="2">
    <tableColumn id="1" name="Year" dataDxfId="1405" dataCellStyle="Comma"/>
    <tableColumn id="2" name="Amount" dataDxfId="140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7-18" altTextSummary="This table pulls data from the Exc &amp; Adj tabs to calculate exception (d) for the Local Total method for 2017-18. The table may be blank and blacked out if the LEA meets MOE without exceptions. Rows may be blank and blacked out if the LEA does not need to include all years under the &quot;subsequent years&quot; rule."/>
    </ext>
  </extLst>
</table>
</file>

<file path=xl/tables/table108.xml><?xml version="1.0" encoding="utf-8"?>
<table xmlns="http://schemas.openxmlformats.org/spreadsheetml/2006/main" id="139" name="ExcECalcsLocalTot1718" displayName="ExcECalcsLocalTot1718" ref="A62:B69" totalsRowShown="0" headerRowDxfId="1403" dataDxfId="1401" headerRowBorderDxfId="1402" tableBorderDxfId="1400" totalsRowBorderDxfId="1399">
  <tableColumns count="2">
    <tableColumn id="1" name="Year" dataDxfId="1398" dataCellStyle="Comma"/>
    <tableColumn id="2" name="Amount" dataDxfId="1397"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17-18" altTextSummary="This table pulls data from the Exc &amp; Adj tabs to calculate exception (e) for the Local Total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09.xml><?xml version="1.0" encoding="utf-8"?>
<table xmlns="http://schemas.openxmlformats.org/spreadsheetml/2006/main" id="140" name="AdjCalcsLocalTot1718" displayName="AdjCalcsLocalTot1718" ref="A74:B81" totalsRowShown="0" headerRowDxfId="1396" dataDxfId="1394" headerRowBorderDxfId="1395" tableBorderDxfId="1393" totalsRowBorderDxfId="1392">
  <tableColumns count="2">
    <tableColumn id="1" name="Year" dataDxfId="1391" dataCellStyle="Comma"/>
    <tableColumn id="2" name="Amount" dataDxfId="1390"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7-18" altTextSummary="This table pulls data from the Exc &amp; Adj tabs to calculate the MOE adjustment for the Local Total method for 2017-18. The table may be blank and blacked out if the LEA meets MOE without adjustments. Rows may be blank and blacked out if the LEA does not need to include all years under the &quot;subsequent years&quot; rule."/>
    </ext>
  </extLst>
</table>
</file>

<file path=xl/tables/table110.xml><?xml version="1.0" encoding="utf-8"?>
<table xmlns="http://schemas.openxmlformats.org/spreadsheetml/2006/main" id="141" name="ExcACalcsStateLocalTot1718" displayName="ExcACalcsStateLocalTot1718" ref="E16:F23" totalsRowShown="0" headerRowDxfId="1389" dataDxfId="1387" headerRowBorderDxfId="1388" tableBorderDxfId="1386" totalsRowBorderDxfId="1385">
  <tableColumns count="2">
    <tableColumn id="1" name="Year" dataDxfId="1384" dataCellStyle="Comma"/>
    <tableColumn id="2" name="Amount" dataDxfId="1383"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7-18" altTextSummary="This table pulls data from the Exc &amp; Adj tabs to calculate exception (a) for the State and Local Total method for 2017-18. The table may be blank and blacked out if the LEA meets MOE without exceptions. Rows may be blank and blacked out if the LEA does not need to include all years under the &quot;subsequent years&quot; rule."/>
    </ext>
  </extLst>
</table>
</file>

<file path=xl/tables/table111.xml><?xml version="1.0" encoding="utf-8"?>
<table xmlns="http://schemas.openxmlformats.org/spreadsheetml/2006/main" id="142" name="ExcBCalcsStateLocalTot1718" displayName="ExcBCalcsStateLocalTot1718" ref="E26:F33" totalsRowShown="0" headerRowDxfId="1382" dataDxfId="1380" headerRowBorderDxfId="1381" tableBorderDxfId="1379" totalsRowBorderDxfId="1378">
  <tableColumns count="2">
    <tableColumn id="1" name="Year" dataDxfId="1377" dataCellStyle="Comma"/>
    <tableColumn id="2" name="Amount" dataDxfId="1376"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7-18" altTextSummary="This table pulls data from the Exc &amp; Adj tabs to calculate exception (b) for the State and Local Total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12.xml><?xml version="1.0" encoding="utf-8"?>
<table xmlns="http://schemas.openxmlformats.org/spreadsheetml/2006/main" id="143" name="ExcCCalcsStateLocalTot1718" displayName="ExcCCalcsStateLocalTot1718" ref="E40:F47" totalsRowShown="0" headerRowDxfId="1375" dataDxfId="1373" headerRowBorderDxfId="1374" tableBorderDxfId="1372" totalsRowBorderDxfId="1371">
  <tableColumns count="2">
    <tableColumn id="1" name="Year" dataDxfId="1370" dataCellStyle="Comma"/>
    <tableColumn id="2" name="Amount" dataDxfId="1369"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7-18" altTextSummary="This table pulls data from the Exc &amp; Adj tabs to calculate exception (c) for the State and Local Total method for 2017-18. The table may be blank and blacked out if the LEA meets MOE without exceptions. Rows may be blank and blacked out if the LEA does not need to include all years under the &quot;subsequent years&quot; rule."/>
    </ext>
  </extLst>
</table>
</file>

<file path=xl/tables/table113.xml><?xml version="1.0" encoding="utf-8"?>
<table xmlns="http://schemas.openxmlformats.org/spreadsheetml/2006/main" id="144" name="ExcDCalcsStateLocalTot1718" displayName="ExcDCalcsStateLocalTot1718" ref="E51:F58" totalsRowShown="0" headerRowDxfId="1368" dataDxfId="1366" headerRowBorderDxfId="1367" tableBorderDxfId="1365" totalsRowBorderDxfId="1364">
  <tableColumns count="2">
    <tableColumn id="1" name="Year" dataDxfId="1363" dataCellStyle="Comma"/>
    <tableColumn id="2" name="Amount" dataDxfId="1362"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7-18" altTextSummary="This table pulls data from the Exc &amp; Adj tabs to calculate exception (d) for the State and Local Total method for 2017-18. The table may be blank and blacked out if the LEA meets MOE without exceptions. Rows may be blank and blacked out if the LEA does not need to include all years under the &quot;subsequent years&quot; rule."/>
    </ext>
  </extLst>
</table>
</file>

<file path=xl/tables/table114.xml><?xml version="1.0" encoding="utf-8"?>
<table xmlns="http://schemas.openxmlformats.org/spreadsheetml/2006/main" id="145" name="ExcECalcsStateLocalTot1718" displayName="ExcECalcsStateLocalTot1718" ref="E62:F69" totalsRowShown="0" headerRowDxfId="1361" dataDxfId="1359" headerRowBorderDxfId="1360" tableBorderDxfId="1358" totalsRowBorderDxfId="1357">
  <tableColumns count="2">
    <tableColumn id="1" name="Year" dataDxfId="1356" dataCellStyle="Comma"/>
    <tableColumn id="2" name="Amount" dataDxfId="135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7-18" altTextSummary="This table pulls data from the Exc &amp; Adj tabs to calculate exception (e) for the State and Local Total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15.xml><?xml version="1.0" encoding="utf-8"?>
<table xmlns="http://schemas.openxmlformats.org/spreadsheetml/2006/main" id="146" name="AdjCalcsStateLocalTot1718" displayName="AdjCalcsStateLocalTot1718" ref="E74:F81" totalsRowShown="0" headerRowDxfId="1354" dataDxfId="1352" headerRowBorderDxfId="1353" tableBorderDxfId="1351" totalsRowBorderDxfId="1350">
  <tableColumns count="2">
    <tableColumn id="1" name="Year" dataDxfId="1349" dataCellStyle="Comma"/>
    <tableColumn id="2" name="Amount" dataDxfId="1348" dataCellStyle="Currency"/>
  </tableColumns>
  <tableStyleInfo name="TableStyleMedium9" showFirstColumn="0" showLastColumn="0" showRowStripes="0" showColumnStripes="0"/>
  <extLst>
    <ext xmlns:x14="http://schemas.microsoft.com/office/spreadsheetml/2009/9/main" uri="{504A1905-F514-4f6f-8877-14C23A59335A}">
      <x14:table altText="MOE Adjustment for State and Local Total method for 2017-18" altTextSummary="This table pulls data from the Exc &amp; Adj tabs to calculate the MOE adjustment for the State and Local Total method for 2017-18. The table may be blank and blacked out if the LEA meets MOE without adjustments. Rows may be blank and blacked out if the LEA does not need to include all years under the &quot;subsequent years&quot; rule."/>
    </ext>
  </extLst>
</table>
</file>

<file path=xl/tables/table116.xml><?xml version="1.0" encoding="utf-8"?>
<table xmlns="http://schemas.openxmlformats.org/spreadsheetml/2006/main" id="147" name="ExcACalcsLocalPerCap1718" displayName="ExcACalcsLocalPerCap1718" ref="I16:J23" totalsRowShown="0" headerRowDxfId="1347" dataDxfId="1345" headerRowBorderDxfId="1346" tableBorderDxfId="1344" totalsRowBorderDxfId="1343">
  <tableColumns count="2">
    <tableColumn id="1" name="Year" dataDxfId="1342" dataCellStyle="Comma"/>
    <tableColumn id="2" name="Amount" dataDxfId="1341"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7-18" altTextSummary="This table pulls data from the Exc &amp; Adj tabs to calculate exception (a) for the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17.xml><?xml version="1.0" encoding="utf-8"?>
<table xmlns="http://schemas.openxmlformats.org/spreadsheetml/2006/main" id="148" name="ExcBCalcsLocalPerCap1718" displayName="ExcBCalcsLocalPerCap1718" ref="I26:J33" totalsRowShown="0" headerRowDxfId="1340" dataDxfId="1338" headerRowBorderDxfId="1339" tableBorderDxfId="1337" totalsRowBorderDxfId="1336">
  <tableColumns count="2">
    <tableColumn id="1" name="Year" dataDxfId="1335" dataCellStyle="Comma"/>
    <tableColumn id="2" name="Amount" dataDxfId="1334"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7-18" altTextSummary="This table pulls data from the Exc &amp; Adj tabs to calculate exception (b) for the Local Per Capita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18.xml><?xml version="1.0" encoding="utf-8"?>
<table xmlns="http://schemas.openxmlformats.org/spreadsheetml/2006/main" id="149" name="ExcCCalcsLocalPerCap1718" displayName="ExcCCalcsLocalPerCap1718" ref="I40:J47" totalsRowShown="0" headerRowDxfId="1333" dataDxfId="1331" headerRowBorderDxfId="1332" tableBorderDxfId="1330">
  <tableColumns count="2">
    <tableColumn id="1" name="Year" dataDxfId="1329" dataCellStyle="Comma"/>
    <tableColumn id="2" name="Amount" dataDxfId="1328"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7-18" altTextSummary="This table pulls data from the Exc &amp; Adj tabs to calculate exception (c) for the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19.xml><?xml version="1.0" encoding="utf-8"?>
<table xmlns="http://schemas.openxmlformats.org/spreadsheetml/2006/main" id="150" name="ExcDCalcsLocalPerCap1718" displayName="ExcDCalcsLocalPerCap1718" ref="I51:J58" totalsRowShown="0" headerRowDxfId="1327" dataDxfId="1325" headerRowBorderDxfId="1326" tableBorderDxfId="1324" totalsRowBorderDxfId="1323">
  <tableColumns count="2">
    <tableColumn id="1" name="Year" dataDxfId="1322" dataCellStyle="Comma"/>
    <tableColumn id="2" name="Amount" dataDxfId="132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7-18" altTextSummary="This table pulls data from the Exc &amp; Adj tabs to calculate exception (d) for the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0.xml><?xml version="1.0" encoding="utf-8"?>
<table xmlns="http://schemas.openxmlformats.org/spreadsheetml/2006/main" id="151" name="ExcECalcsLocalPerCap1718" displayName="ExcECalcsLocalPerCap1718" ref="I62:J69" totalsRowShown="0" headerRowDxfId="1320" headerRowBorderDxfId="1319" tableBorderDxfId="1318" totalsRowBorderDxfId="1317">
  <tableColumns count="2">
    <tableColumn id="1" name="Year" dataDxfId="1316" dataCellStyle="Comma"/>
    <tableColumn id="2" name="Amount" dataDxfId="131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7-18" altTextSummary="This table pulls data from the Exc &amp; Adj tabs to calculate exception (e) for the Local Per Capita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21.xml><?xml version="1.0" encoding="utf-8"?>
<table xmlns="http://schemas.openxmlformats.org/spreadsheetml/2006/main" id="152" name="AdjCalcsLocalPerCap1718" displayName="AdjCalcsLocalPerCap1718" ref="I75:J82" totalsRowShown="0" headerRowDxfId="1314" dataDxfId="1312" headerRowBorderDxfId="1313" tableBorderDxfId="1311" totalsRowBorderDxfId="1310">
  <tableColumns count="2">
    <tableColumn id="1" name="Year" dataDxfId="1309" dataCellStyle="Comma"/>
    <tableColumn id="2" name="Amount" dataDxfId="1308"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7-18" altTextSummary="This table pulls data from the Exc &amp; Adj tabs to calculate the MOE adjustment for the Local Per Capita method for 2017-18. The table may be blank and blacked out if the LEA meets MOE without adjustments. Rows may be blank and blacked out if the LEA does not need to include all years under the &quot;subsequent years&quot; rule."/>
    </ext>
  </extLst>
</table>
</file>

<file path=xl/tables/table122.xml><?xml version="1.0" encoding="utf-8"?>
<table xmlns="http://schemas.openxmlformats.org/spreadsheetml/2006/main" id="153" name="LocalPerCapResults1718" displayName="LocalPerCapResults1718" ref="I3:K11" totalsRowShown="0" headerRowDxfId="1307" dataDxfId="1306" tableBorderDxfId="1305">
  <tableColumns count="3">
    <tableColumn id="1" name="Calculations" dataDxfId="1304"/>
    <tableColumn id="2" name="Local Per Capita" dataDxfId="1303" dataCellStyle="Currency"/>
    <tableColumn id="3" name="MOE Result" dataDxfId="1302"/>
  </tableColumns>
  <tableStyleInfo name="TableStyleMedium9" showFirstColumn="0" showLastColumn="0" showRowStripes="1" showColumnStripes="0"/>
  <extLst>
    <ext xmlns:x14="http://schemas.microsoft.com/office/spreadsheetml/2009/9/main" uri="{504A1905-F514-4f6f-8877-14C23A59335A}">
      <x14:table altText="Local Per Capita MOE Results for 2017-18" altTextSummary="This table calculates the MOE Result for the Local Per Capita method for 2017-18. This table pulls from the Amounts tabs and Exc &amp; Adj tabs to determine the MOE Result."/>
    </ext>
  </extLst>
</table>
</file>

<file path=xl/tables/table123.xml><?xml version="1.0" encoding="utf-8"?>
<table xmlns="http://schemas.openxmlformats.org/spreadsheetml/2006/main" id="154" name="StateLocalPerCapResults1718" displayName="StateLocalPerCapResults1718" ref="M3:O11" totalsRowShown="0" headerRowDxfId="1301" dataDxfId="1300" tableBorderDxfId="1299">
  <tableColumns count="3">
    <tableColumn id="1" name="Calculations" dataDxfId="1298"/>
    <tableColumn id="2" name="State &amp; Local Per Capita" dataDxfId="1297" dataCellStyle="Currency"/>
    <tableColumn id="3" name="MOE Result" dataDxfId="1296"/>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7-18" altTextSummary="This table calculates the MOE Result for the State and Local Per Capita method for 2017-18. This table pulls from the Amounts tabs and Exc &amp; Adj tabs to determine the MOE Result."/>
    </ext>
  </extLst>
</table>
</file>

<file path=xl/tables/table124.xml><?xml version="1.0" encoding="utf-8"?>
<table xmlns="http://schemas.openxmlformats.org/spreadsheetml/2006/main" id="155" name="ExcACalcsStateLocalPerCap1718" displayName="ExcACalcsStateLocalPerCap1718" ref="M16:N23" totalsRowShown="0" headerRowDxfId="1295" dataDxfId="1293" headerRowBorderDxfId="1294" tableBorderDxfId="1292" totalsRowBorderDxfId="1291">
  <tableColumns count="2">
    <tableColumn id="1" name="Year" dataDxfId="1290" dataCellStyle="Comma"/>
    <tableColumn id="2" name="Amount" dataDxfId="128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7-17" altTextSummary="This table pulls data from the Exc &amp; Adj tabs to calculate exception (a) for the State and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5.xml><?xml version="1.0" encoding="utf-8"?>
<table xmlns="http://schemas.openxmlformats.org/spreadsheetml/2006/main" id="156" name="ExcBCalcsStateLocalPerCap1718" displayName="ExcBCalcsStateLocalPerCap1718" ref="M26:N33" totalsRowShown="0" headerRowDxfId="1288" dataDxfId="1286" headerRowBorderDxfId="1287" tableBorderDxfId="1285" totalsRowBorderDxfId="1284">
  <tableColumns count="2">
    <tableColumn id="1" name="Year" dataDxfId="1283" dataCellStyle="Comma"/>
    <tableColumn id="2" name="Amount" dataDxfId="1282"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7-18" altTextSummary="This table pulls data from the Exc &amp; Adj tabs to calculate exception (b) for the State and Local Per Capita method for 2017-18.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26.xml><?xml version="1.0" encoding="utf-8"?>
<table xmlns="http://schemas.openxmlformats.org/spreadsheetml/2006/main" id="157" name="ExcCCalcsStateLocalPerCap1718" displayName="ExcCCalcsStateLocalPerCap1718" ref="M40:N47" totalsRowShown="0" headerRowDxfId="1281" dataDxfId="1279" headerRowBorderDxfId="1280" tableBorderDxfId="1278">
  <tableColumns count="2">
    <tableColumn id="1" name="Year" dataDxfId="1277" dataCellStyle="Comma"/>
    <tableColumn id="2" name="Amount" dataDxfId="1276"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7-18" altTextSummary="This table pulls data from the Exc &amp; Adj tabs to calculate exception (c) for the State and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7.xml><?xml version="1.0" encoding="utf-8"?>
<table xmlns="http://schemas.openxmlformats.org/spreadsheetml/2006/main" id="158" name="ExcDCalcsStateLocalPerCap1718" displayName="ExcDCalcsStateLocalPerCap1718" ref="M51:N58" totalsRowShown="0" headerRowDxfId="1275" dataDxfId="1273" headerRowBorderDxfId="1274" tableBorderDxfId="1272" totalsRowBorderDxfId="1271">
  <tableColumns count="2">
    <tableColumn id="1" name="Year" dataDxfId="1270" dataCellStyle="Comma"/>
    <tableColumn id="2" name="Amount" dataDxfId="126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7-18" altTextSummary="This table pulls data from the Exc &amp; Adj tabs to calculate exception (d) for the State and Local Per Capita method for 2017-18. The table may be blank and blacked out if the LEA meets MOE without exceptions. Rows may be blank and blacked out if the LEA does not need to include all years under the &quot;subsequent years&quot; rule."/>
    </ext>
  </extLst>
</table>
</file>

<file path=xl/tables/table128.xml><?xml version="1.0" encoding="utf-8"?>
<table xmlns="http://schemas.openxmlformats.org/spreadsheetml/2006/main" id="159" name="ExcECalcsStateLocalPerCap1718" displayName="ExcECalcsStateLocalPerCap1718" ref="M62:N69" totalsRowShown="0" headerRowDxfId="1268" headerRowBorderDxfId="1267" tableBorderDxfId="1266" totalsRowBorderDxfId="1265">
  <tableColumns count="2">
    <tableColumn id="1" name="Year" dataDxfId="1264" dataCellStyle="Comma"/>
    <tableColumn id="2" name="Amount" dataDxfId="126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7-18" altTextSummary="This table pulls data from the Exc &amp; Adj tabs to calculate exception (e) for the State and Local Per Capita method for 2017-18.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29.xml><?xml version="1.0" encoding="utf-8"?>
<table xmlns="http://schemas.openxmlformats.org/spreadsheetml/2006/main" id="160" name="AdjCalcsStateLocalPerCap1718" displayName="AdjCalcsStateLocalPerCap1718" ref="M75:N82" totalsRowShown="0" headerRowDxfId="1262" dataDxfId="1260" headerRowBorderDxfId="1261" tableBorderDxfId="1259" totalsRowBorderDxfId="1258">
  <tableColumns count="2">
    <tableColumn id="1" name="Year" dataDxfId="1257" dataCellStyle="Comma"/>
    <tableColumn id="2" name="Amount" dataDxfId="1256"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7-18" altTextSummary="This table pulls data from the Exc &amp; Adj tabs to calculate the MOE adjustment for the State and Local Per Capita method for 2017-18. The table may be blank and blacked out if the LEA meets MOE without adjustments. Rows may be blank and blacked out if the LEA does not need to include all years under the &quot;subsequent years&quot; rule."/>
    </ext>
  </extLst>
</table>
</file>

<file path=xl/tables/table130.xml><?xml version="1.0" encoding="utf-8"?>
<table xmlns="http://schemas.openxmlformats.org/spreadsheetml/2006/main" id="217" name="ExcADepartingData1718Budget" displayName="ExcADepartingData1718Budget" ref="A6:F12" totalsRowShown="0" headerRowDxfId="1245" dataDxfId="1243" headerRowBorderDxfId="1244" tableBorderDxfId="1242">
  <tableColumns count="6">
    <tableColumn id="1" name="Position Title" dataDxfId="1241"/>
    <tableColumn id="2" name="Employee Name" dataDxfId="1240"/>
    <tableColumn id="3" name="Reason for Leaving" dataDxfId="1239"/>
    <tableColumn id="4" name="Salary" dataDxfId="1238" dataCellStyle="Currency"/>
    <tableColumn id="5" name="Benefits" dataDxfId="1237" dataCellStyle="Currency"/>
    <tableColumn id="8" name="Total Budget" dataDxfId="1236"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7-18 Eligibility Standard" altTextSummary="Users can enter data in this table for any departing personnel projected for 2017-18. This table is for the eligiblity standard and is based on budget amounts."/>
    </ext>
  </extLst>
</table>
</file>

<file path=xl/tables/table131.xml><?xml version="1.0" encoding="utf-8"?>
<table xmlns="http://schemas.openxmlformats.org/spreadsheetml/2006/main" id="218" name="ExcAReplaceData1718Budget" displayName="ExcAReplaceData1718Budget" ref="A14:F20" totalsRowShown="0" headerRowDxfId="1235" dataDxfId="1233" headerRowBorderDxfId="1234" tableBorderDxfId="1232">
  <tableColumns count="6">
    <tableColumn id="1" name="Position Title" dataDxfId="1231"/>
    <tableColumn id="2" name="Employee Name" dataDxfId="1230"/>
    <tableColumn id="3" name="Column1" dataDxfId="1229"/>
    <tableColumn id="4" name="Salary" dataDxfId="1228" dataCellStyle="Currency"/>
    <tableColumn id="5" name="Benefits" dataDxfId="1227" dataCellStyle="Currency"/>
    <tableColumn id="8" name="Total Budget" dataDxfId="122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7-18 Eligibility Standard" altTextSummary="Users can enter data in this table for any replacement personnel projected for 2017-18. This table is for the eligiblity standard and is based on budget amounts."/>
    </ext>
  </extLst>
</table>
</file>

<file path=xl/tables/table132.xml><?xml version="1.0" encoding="utf-8"?>
<table xmlns="http://schemas.openxmlformats.org/spreadsheetml/2006/main" id="219" name="ExcDData1718Budget" displayName="ExcDData1718Budget" ref="A50:B56" totalsRowShown="0" headerRowDxfId="1225" dataDxfId="1223" headerRowBorderDxfId="1224" tableBorderDxfId="1222">
  <tableColumns count="2">
    <tableColumn id="1" name="Description" dataDxfId="1221"/>
    <tableColumn id="2" name="Budgeted Cost in Final Year" dataDxfId="122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7-18 Eligiblity Standard" altTextSummary="Users can enter data in this table for the projected termination of costly expenditures for long-term purchases for 2017-18. This table is for the eligiblity standard and is based on budget amounts."/>
    </ext>
  </extLst>
</table>
</file>

<file path=xl/tables/table133.xml><?xml version="1.0" encoding="utf-8"?>
<table xmlns="http://schemas.openxmlformats.org/spreadsheetml/2006/main" id="220" name="AdjData1718Budget" displayName="AdjData1718Budget" ref="A69:B70" totalsRowShown="0" headerRowDxfId="1219" dataDxfId="1217" headerRowBorderDxfId="1218" tableBorderDxfId="1216" totalsRowBorderDxfId="1215">
  <tableColumns count="2">
    <tableColumn id="1" name="Column1" dataDxfId="1214"/>
    <tableColumn id="2" name="Projected Adjustment" dataDxfId="1213">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7-18 Eligiblity Standard" altTextSummary="Users can enter data in this table for the projected Adjustment to MOE for 2017-18. This table is for the eligiblity standard and is based on budget amounts. Use IDC's MOE Reduction Decision Tree and Calculator to determine the adjustment amount."/>
    </ext>
  </extLst>
</table>
</file>

<file path=xl/tables/table134.xml><?xml version="1.0" encoding="utf-8"?>
<table xmlns="http://schemas.openxmlformats.org/spreadsheetml/2006/main" id="221" name="ExcCData1718Budget" displayName="ExcCData1718Budget" ref="A40:C46" totalsRowShown="0" headerRowDxfId="1212" dataDxfId="1211" tableBorderDxfId="1210">
  <tableColumns count="3">
    <tableColumn id="1" name="Student Identifier" dataDxfId="1209"/>
    <tableColumn id="2" name="Reason" dataDxfId="1208"/>
    <tableColumn id="3" name="Budgeted Cost" dataDxfId="120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7-18 Eligiblity Standard" altTextSummary="Users can enter data in this table for the projected termination of the obligation to provide special education to a particular student that is an exceptionally costly program projected for 2017-18. This table is for the eligiblity standard and is based on budget amounts."/>
    </ext>
  </extLst>
</table>
</file>

<file path=xl/tables/table135.xml><?xml version="1.0" encoding="utf-8"?>
<table xmlns="http://schemas.openxmlformats.org/spreadsheetml/2006/main" id="222" name="ExcEData1718Budget" displayName="ExcEData1718Budget" ref="A60:B66" totalsRowShown="0" headerRowDxfId="1206" tableBorderDxfId="1205">
  <tableColumns count="2">
    <tableColumn id="1" name="Student Identifier" dataDxfId="1204"/>
    <tableColumn id="2" name="Budgeted Cost Assumed by SEA" dataDxfId="1203"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7-18 Eligibility Standard" altTextSummary="Users can enter data for the projected assumption of cost by the high cost fund operated by the SEA for for 2017-18. This table is for the eligiblity standard and uses budget data. The table will be blank and blacked out if the SEA does not have a high cost fund under §300.704."/>
    </ext>
  </extLst>
</table>
</file>

<file path=xl/tables/table136.xml><?xml version="1.0" encoding="utf-8"?>
<table xmlns="http://schemas.openxmlformats.org/spreadsheetml/2006/main" id="223" name="ExcBAutoEnrollmentData1718Budget" displayName="ExcBAutoEnrollmentData1718Budget" ref="A28:B32" totalsRowShown="0" headerRowDxfId="1202" dataDxfId="1201">
  <tableColumns count="2">
    <tableColumn id="1" name="Column1" dataDxfId="1200"/>
    <tableColumn id="2" name="Column2" dataDxfId="1199"/>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7-18 Eligibility Standard" altTextSummary="This table automatically calculates the change in enrollment for 2017-18 to determine whether the LEA can apply exception (b). This table is for the eligiblity standard."/>
    </ext>
  </extLst>
</table>
</file>

<file path=xl/tables/table137.xml><?xml version="1.0" encoding="utf-8"?>
<table xmlns="http://schemas.openxmlformats.org/spreadsheetml/2006/main" id="224" name="ExcBAutoReductionData1718Budget" displayName="ExcBAutoReductionData1718Budget" ref="A33:C35" totalsRowShown="0" headerRowDxfId="1198" dataDxfId="1196" headerRowBorderDxfId="1197" tableBorderDxfId="1195" totalsRowBorderDxfId="1194" headerRowCellStyle="Percent">
  <tableColumns count="3">
    <tableColumn id="1" name="Column1" dataDxfId="1193"/>
    <tableColumn id="2" name="Local Total" dataDxfId="1192">
      <calculatedColumnFormula>IF(B30&gt;=0,"",B31*B33)</calculatedColumnFormula>
    </tableColumn>
    <tableColumn id="3" name="State and Local Total" dataDxfId="1191">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7-18 Eligibility Standard" altTextSummary="This table automatically calculates the projected reduction based on a decrease in enrollment for 2017-18. This table is for the eligiblity standard and uses budget data. The table will be blank and blacked out if there is no decrease in enrollment or if the user selected manual entry for exception (b)."/>
    </ext>
  </extLst>
</table>
</file>

<file path=xl/tables/table138.xml><?xml version="1.0" encoding="utf-8"?>
<table xmlns="http://schemas.openxmlformats.org/spreadsheetml/2006/main" id="225" name="ExcBManualData1718Budget" displayName="ExcBManualData1718Budget" ref="A24:E25" totalsRowShown="0" headerRowDxfId="1190" dataDxfId="1188" headerRowBorderDxfId="1189" tableBorderDxfId="1187" totalsRowBorderDxfId="1186" headerRowCellStyle="Percent">
  <tableColumns count="5">
    <tableColumn id="1" name="Column1" dataDxfId="1185">
      <calculatedColumnFormula>IF(B31="","Projected Reduction",IF(B31&lt;0,"Projected Reduction",IF(B31&gt;=0,"Not eligible for this exception","Projected Reduction")))</calculatedColumnFormula>
    </tableColumn>
    <tableColumn id="2" name="Local Total" dataDxfId="1184"/>
    <tableColumn id="3" name="State and Local Total" dataDxfId="1183"/>
    <tableColumn id="4" name="Local Per Capita" dataDxfId="1182"/>
    <tableColumn id="5" name="State and Local Per Capita" dataDxfId="1181"/>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6-18 Eligiblity Standard" altTextSummary="If users prefer to use their own method to calculate the reduction for exception (b), they can use this table for any projected reduction in 2017-18. This table is for the eligiblity standard and is based on budget amounts. This table will be blank and blacked out if users selected auto-calculation of exception (b) on the Getting Started tab or if there is no decrease in enrollment."/>
    </ext>
  </extLst>
</table>
</file>

<file path=xl/tables/table139.xml><?xml version="1.0" encoding="utf-8"?>
<table xmlns="http://schemas.openxmlformats.org/spreadsheetml/2006/main" id="226" name="ExcADepartingData1718Expenditures" displayName="ExcADepartingData1718Expenditures" ref="H6:M12" totalsRowShown="0" headerRowDxfId="1180" dataDxfId="1178" headerRowBorderDxfId="1179" tableBorderDxfId="1177">
  <tableColumns count="6">
    <tableColumn id="1" name="Position Title" dataDxfId="1176"/>
    <tableColumn id="2" name="Employee Name" dataDxfId="1175"/>
    <tableColumn id="3" name="Reason for Leaving" dataDxfId="1174"/>
    <tableColumn id="4" name="Salary" dataDxfId="1173" dataCellStyle="Currency"/>
    <tableColumn id="5" name="Benefits" dataDxfId="1172" dataCellStyle="Currency"/>
    <tableColumn id="8" name="Total Expenditures" dataDxfId="1171"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7-18 Compliance Standard" altTextSummary="Users can enter data in this table for any departing personnel for 2017-18. This table is for the compliance standard and is based on final expenditures."/>
    </ext>
  </extLst>
</table>
</file>

<file path=xl/tables/table140.xml><?xml version="1.0" encoding="utf-8"?>
<table xmlns="http://schemas.openxmlformats.org/spreadsheetml/2006/main" id="227" name="ExcAReplaceData1718Expenditures" displayName="ExcAReplaceData1718Expenditures" ref="H14:M20" totalsRowShown="0" headerRowDxfId="1170" dataDxfId="1168" headerRowBorderDxfId="1169" tableBorderDxfId="1167">
  <tableColumns count="6">
    <tableColumn id="1" name="Position Title" dataDxfId="1166"/>
    <tableColumn id="2" name="Employee Name" dataDxfId="1165"/>
    <tableColumn id="3" name="Column1" dataDxfId="1164"/>
    <tableColumn id="4" name="Salary" dataDxfId="1163" dataCellStyle="Currency"/>
    <tableColumn id="5" name="Benefits" dataDxfId="1162" dataCellStyle="Currency"/>
    <tableColumn id="8" name="Total Expenditures" dataDxfId="1161"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7-18 Compliance Standard" altTextSummary="Users can enter data in this table for any replacement personnel for 2017-18. This table is for the compliance standard and is based on final expenditures."/>
    </ext>
  </extLst>
</table>
</file>

<file path=xl/tables/table141.xml><?xml version="1.0" encoding="utf-8"?>
<table xmlns="http://schemas.openxmlformats.org/spreadsheetml/2006/main" id="228" name="ExcDData1718Expenditures" displayName="ExcDData1718Expenditures" ref="H50:I56" totalsRowShown="0" headerRowDxfId="1160" dataDxfId="1158" headerRowBorderDxfId="1159" tableBorderDxfId="1157">
  <tableColumns count="2">
    <tableColumn id="1" name="Description" dataDxfId="1156"/>
    <tableColumn id="2" name="Cost in Final Year of Expenditure" dataDxfId="1155"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7-18 Compliance Standard" altTextSummary="Users can enter data in this table for the termination of costly expenditures for long-term purchases for 2017-18. This table is for the compliance standard and is based on final expenditures."/>
    </ext>
  </extLst>
</table>
</file>

<file path=xl/tables/table142.xml><?xml version="1.0" encoding="utf-8"?>
<table xmlns="http://schemas.openxmlformats.org/spreadsheetml/2006/main" id="229" name="AdjData1718Expenditures" displayName="AdjData1718Expenditures" ref="H69:I70" totalsRowShown="0" headerRowDxfId="1154" dataDxfId="1152" headerRowBorderDxfId="1153" tableBorderDxfId="1151" totalsRowBorderDxfId="1150">
  <tableColumns count="2">
    <tableColumn id="1" name="Column1" dataDxfId="1149"/>
    <tableColumn id="2" name="Adjustment" dataDxfId="1148">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7-18 Compliance Standard" altTextSummary="Users can enter data in this table for the Adjustment to MOE for 2017-18. This table is for the compliance standard and is based on final expenditures. Use IDC's MOE Reduction Decision Tree and Calculator to determine the adjustment amount."/>
    </ext>
  </extLst>
</table>
</file>

<file path=xl/tables/table143.xml><?xml version="1.0" encoding="utf-8"?>
<table xmlns="http://schemas.openxmlformats.org/spreadsheetml/2006/main" id="230" name="ExcCData1718Expenditures" displayName="ExcCData1718Expenditures" ref="H40:J46" totalsRowShown="0" headerRowDxfId="1147" dataDxfId="1146" tableBorderDxfId="1145">
  <tableColumns count="3">
    <tableColumn id="1" name="Student Identifier" dataDxfId="1144"/>
    <tableColumn id="2" name="Reason" dataDxfId="1143"/>
    <tableColumn id="3" name="Expenditures" dataDxfId="1142"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7-18 Compliance Standard" altTextSummary="Users can enter data in this table for the termination of the obligation to provide special education to a particular student that is an exceptionally costly program projected for 2017-18. This table is for the compliance standard and is based on final expenditures."/>
    </ext>
  </extLst>
</table>
</file>

<file path=xl/tables/table144.xml><?xml version="1.0" encoding="utf-8"?>
<table xmlns="http://schemas.openxmlformats.org/spreadsheetml/2006/main" id="231" name="ExcEData1718Expenditures" displayName="ExcEData1718Expenditures" ref="H60:I66" totalsRowShown="0" headerRowDxfId="1141" tableBorderDxfId="1140">
  <tableColumns count="2">
    <tableColumn id="1" name="Student Identifier" dataDxfId="1139"/>
    <tableColumn id="2" name="Cost Assumed by SEA" dataDxfId="113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7-18 Compliance Standard" altTextSummary="Users can enter data for the assumption of cost by the high cost fund operated by the SEA for for 2017-18. This table is for the compliance standard and uses final expenditures. The table will be blank and blacked out if the SEA does not have a high cost fund under §300.704."/>
    </ext>
  </extLst>
</table>
</file>

<file path=xl/tables/table145.xml><?xml version="1.0" encoding="utf-8"?>
<table xmlns="http://schemas.openxmlformats.org/spreadsheetml/2006/main" id="232" name="ExcBAutoEnrollmentData1718Expenditures" displayName="ExcBAutoEnrollmentData1718Expenditures" ref="H28:I32" totalsRowShown="0" headerRowDxfId="1137" dataDxfId="1136">
  <tableColumns count="2">
    <tableColumn id="1" name="Column1" dataDxfId="1135"/>
    <tableColumn id="2" name="Column2" dataDxfId="113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7-18 Compliance Standard" altTextSummary="This table automatically calculates the change in enrollment for 2017-18 to determine whether the LEA can apply exception (b). This table is for the compliance standard."/>
    </ext>
  </extLst>
</table>
</file>

<file path=xl/tables/table146.xml><?xml version="1.0" encoding="utf-8"?>
<table xmlns="http://schemas.openxmlformats.org/spreadsheetml/2006/main" id="233" name="ExcBAutoReductionData1718Expenditures" displayName="ExcBAutoReductionData1718Expenditures" ref="H33:J35" totalsRowShown="0" headerRowDxfId="1133" dataDxfId="1131" headerRowBorderDxfId="1132" tableBorderDxfId="1130" totalsRowBorderDxfId="1129" headerRowCellStyle="Percent">
  <tableColumns count="3">
    <tableColumn id="1" name="Column1" dataDxfId="1128"/>
    <tableColumn id="2" name="Local Total" dataDxfId="1127"/>
    <tableColumn id="3" name="State and Local Total" dataDxfId="1126"/>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7-18 Compliance Standard" altTextSummary="This table automatically calculates the reduction based on a decrease in enrollment for 2017-18. This table is for the compliance standard and uses final expenditures. The table will be blank and blacked out if there is no decrease in enrollment or if the user selected manual entry for exception (b)."/>
    </ext>
  </extLst>
</table>
</file>

<file path=xl/tables/table147.xml><?xml version="1.0" encoding="utf-8"?>
<table xmlns="http://schemas.openxmlformats.org/spreadsheetml/2006/main" id="234" name="ExcBManualData1718Expenditures" displayName="ExcBManualData1718Expenditures" ref="H24:L25" totalsRowShown="0" headerRowDxfId="1125" dataDxfId="1123" headerRowBorderDxfId="1124" tableBorderDxfId="1122" totalsRowBorderDxfId="1121" headerRowCellStyle="Percent">
  <tableColumns count="5">
    <tableColumn id="1" name="Column1" dataDxfId="1120">
      <calculatedColumnFormula>IF(I31="","Allowed Reduction",IF(I31&lt;0,"Allowed Reduction",IF(I31&gt;=0,"Not eligible for this exception","Allowed Reduction")))</calculatedColumnFormula>
    </tableColumn>
    <tableColumn id="2" name="Local Total" dataDxfId="1119"/>
    <tableColumn id="3" name="State and Local Total" dataDxfId="1118"/>
    <tableColumn id="4" name="Local Per Capita" dataDxfId="1117"/>
    <tableColumn id="5" name="State and Local Per Capita" dataDxfId="111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7-18 Compliance Standard" altTextSummary="If users prefer to use their own method to calculate the reduction for exception (b), they can use this table for any reduction in 2017-18.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48.xml><?xml version="1.0" encoding="utf-8"?>
<table xmlns="http://schemas.openxmlformats.org/spreadsheetml/2006/main" id="31" name="Budget1819" displayName="Budget1819" ref="A4:F31" totalsRowShown="0" headerRowDxfId="1114" dataDxfId="1113" tableBorderDxfId="1112">
  <tableColumns count="6">
    <tableColumn id="1" name="Object Description" dataDxfId="1111"/>
    <tableColumn id="2" name="Code" dataDxfId="1110"/>
    <tableColumn id="7" name="Code 2" dataDxfId="1109"/>
    <tableColumn id="3" name="Local" dataDxfId="1108" dataCellStyle="Currency"/>
    <tableColumn id="4" name="State" dataDxfId="1107" dataCellStyle="Currency"/>
    <tableColumn id="5" name="State and Local" dataDxfId="1106"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8-19" altTextSummary="In this table, users will enter their budget amounts for 2018-19. The column headers for the first three columns are unlocked and can be edited. If the LEA cannot separately budget for state and local funds, the &quot;Local&quot; column will be blacked out and is unavailable for data entry."/>
    </ext>
  </extLst>
</table>
</file>

<file path=xl/tables/table149.xml><?xml version="1.0" encoding="utf-8"?>
<table xmlns="http://schemas.openxmlformats.org/spreadsheetml/2006/main" id="41" name="Expenditures1819" displayName="Expenditures1819" ref="H4:M31" totalsRowShown="0" headerRowDxfId="1105" dataDxfId="1104" tableBorderDxfId="1103">
  <tableColumns count="6">
    <tableColumn id="1" name="Object Description" dataDxfId="1102"/>
    <tableColumn id="2" name="Code" dataDxfId="1101"/>
    <tableColumn id="6" name="Code 2" dataDxfId="1100"/>
    <tableColumn id="3" name="Local" dataDxfId="1099" dataCellStyle="Currency"/>
    <tableColumn id="4" name="State" dataDxfId="1098" dataCellStyle="Currency"/>
    <tableColumn id="5" name="State and Local" dataDxfId="1097"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8-19" altTextSummary="In this table, users will enter the LEA's final expendituresfor 2018-19. The column headers for the first three columns are unlocked and can be edited. If the LEA cannot separately budget for state and local funds, the &quot;Local&quot; column will be blacked out and is unavailable for data entry."/>
    </ext>
  </extLst>
</table>
</file>

<file path=xl/tables/table150.xml><?xml version="1.0" encoding="utf-8"?>
<table xmlns="http://schemas.openxmlformats.org/spreadsheetml/2006/main" id="161" name="LocalTotResults1819" displayName="LocalTotResults1819" ref="A3:C11" totalsRowShown="0" headerRowDxfId="1030" dataDxfId="1028" headerRowBorderDxfId="1029" tableBorderDxfId="1027" totalsRowBorderDxfId="1026">
  <tableColumns count="3">
    <tableColumn id="1" name="Calculations" dataDxfId="1025"/>
    <tableColumn id="2" name="Local  Total" dataDxfId="1024"/>
    <tableColumn id="3" name="MOE Result" dataDxfId="1023">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8-19" altTextSummary="This table calculates the MOE Result for the Local Total method for 2018-19. This table pulls from the Amounts tabs and Exc &amp; Adj tabs to determine the MOE Result."/>
    </ext>
  </extLst>
</table>
</file>

<file path=xl/tables/table151.xml><?xml version="1.0" encoding="utf-8"?>
<table xmlns="http://schemas.openxmlformats.org/spreadsheetml/2006/main" id="162" name="StateLocalTotResults1819" displayName="StateLocalTotResults1819" ref="E3:G11" totalsRowShown="0" headerRowDxfId="1022" dataDxfId="1020" headerRowBorderDxfId="1021" tableBorderDxfId="1019" totalsRowBorderDxfId="1018">
  <tableColumns count="3">
    <tableColumn id="1" name="Calculations" dataDxfId="1017"/>
    <tableColumn id="2" name="State and Local Total" dataDxfId="1016"/>
    <tableColumn id="3" name="MOE Result" dataDxfId="1015">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8-19" altTextSummary="This table calculates the MOE Result for the State and Local Total method for 2018-19. This table pulls from the Amounts tabs and Exc &amp; Adj tabs to determine the MOE Result."/>
    </ext>
  </extLst>
</table>
</file>

<file path=xl/tables/table152.xml><?xml version="1.0" encoding="utf-8"?>
<table xmlns="http://schemas.openxmlformats.org/spreadsheetml/2006/main" id="163" name="ExcACalcsLocalTot1819" displayName="ExcACalcsLocalTot1819" ref="A16:B24" totalsRowShown="0" headerRowDxfId="1014" dataDxfId="1012" headerRowBorderDxfId="1013" tableBorderDxfId="1011" totalsRowBorderDxfId="1010">
  <tableColumns count="2">
    <tableColumn id="1" name="Year" dataDxfId="1009" dataCellStyle="Comma"/>
    <tableColumn id="2" name="Amount" dataDxfId="1008"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8-19" altTextSummary="This table pulls data from the Exc &amp; Adj tabs to calculate exception (a) for the Local Total method for 2018-19. The table may be blank and blacked out if the LEA meets MOE without exceptions. Rows may be blank and blacked out if the LEA does not need to include all years under the &quot;subsequent years&quot; rule. "/>
    </ext>
  </extLst>
</table>
</file>

<file path=xl/tables/table153.xml><?xml version="1.0" encoding="utf-8"?>
<table xmlns="http://schemas.openxmlformats.org/spreadsheetml/2006/main" id="164" name="ExcBCalcsLocalTot1819" displayName="ExcBCalcsLocalTot1819" ref="A27:B35" totalsRowShown="0" headerRowDxfId="1007" dataDxfId="1005" headerRowBorderDxfId="1006" tableBorderDxfId="1004" totalsRowBorderDxfId="1003">
  <tableColumns count="2">
    <tableColumn id="1" name="Year" dataDxfId="1002" dataCellStyle="Comma"/>
    <tableColumn id="2" name="Amount" dataDxfId="100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8-19" altTextSummary="This table pulls data from the Exc &amp; Adj tabs to calculate exception (b) for the Local Total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54.xml><?xml version="1.0" encoding="utf-8"?>
<table xmlns="http://schemas.openxmlformats.org/spreadsheetml/2006/main" id="165" name="ExcCCalcsLocalTot1819" displayName="ExcCCalcsLocalTot1819" ref="A42:B50" totalsRowShown="0" headerRowDxfId="1000" dataDxfId="998" headerRowBorderDxfId="999" tableBorderDxfId="997">
  <tableColumns count="2">
    <tableColumn id="1" name="Year" dataDxfId="996" dataCellStyle="Comma"/>
    <tableColumn id="2" name="Amount" dataDxfId="99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8-19" altTextSummary="This table pulls data from the Exc &amp; Adj tabs to calculate exception (c) for the Local Total method for 2018-19. The table may be blank and blacked out if the LEA meets MOE without exceptions. Rows may be blank and blacked out if the LEA does not need to include all years under the &quot;subsequent years&quot; rule."/>
    </ext>
  </extLst>
</table>
</file>

<file path=xl/tables/table155.xml><?xml version="1.0" encoding="utf-8"?>
<table xmlns="http://schemas.openxmlformats.org/spreadsheetml/2006/main" id="166" name="ExcDCalcsLocalTot1819" displayName="ExcDCalcsLocalTot1819" ref="A54:B62" totalsRowShown="0" headerRowDxfId="994" dataDxfId="992" headerRowBorderDxfId="993" tableBorderDxfId="991" totalsRowBorderDxfId="990">
  <tableColumns count="2">
    <tableColumn id="1" name="Year" dataDxfId="989" dataCellStyle="Comma"/>
    <tableColumn id="2" name="Amount" dataDxfId="988"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8-19" altTextSummary="This table pulls data from the Exc &amp; Adj tabs to calculate exception (d) for the Local Total method for 2018-19. The table may be blank and blacked out if the LEA meets MOE without exceptions. Rows may be blank and blacked out if the LEA does not need to include all years under the &quot;subsequent years&quot; rule."/>
    </ext>
  </extLst>
</table>
</file>

<file path=xl/tables/table156.xml><?xml version="1.0" encoding="utf-8"?>
<table xmlns="http://schemas.openxmlformats.org/spreadsheetml/2006/main" id="167" name="ExcECalcsLocalTot1819" displayName="ExcECalcsLocalTot1819" ref="A66:B74" totalsRowShown="0" headerRowDxfId="987" dataDxfId="985" headerRowBorderDxfId="986" tableBorderDxfId="984" totalsRowBorderDxfId="983">
  <tableColumns count="2">
    <tableColumn id="1" name="Year" dataDxfId="982" dataCellStyle="Comma"/>
    <tableColumn id="2" name="Amount" dataDxfId="981"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ations for Local Total method for 2018-19" altTextSummary="This table pulls data from the Exc &amp; Adj tabs to calculate exception (e) for the Local Total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57.xml><?xml version="1.0" encoding="utf-8"?>
<table xmlns="http://schemas.openxmlformats.org/spreadsheetml/2006/main" id="168" name="AdjCalcsLocalTot1819" displayName="AdjCalcsLocalTot1819" ref="A79:B87" totalsRowShown="0" headerRowDxfId="980" dataDxfId="978" headerRowBorderDxfId="979" tableBorderDxfId="977" totalsRowBorderDxfId="976">
  <tableColumns count="2">
    <tableColumn id="1" name="Year" dataDxfId="975" dataCellStyle="Comma"/>
    <tableColumn id="2" name="Amount" dataDxfId="974"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8-19" altTextSummary="This table pulls data from the Exc &amp; Adj tabs to calculate the MOE adjustment for the Local Total method for 2018-19. The table may be blank and blacked out if the LEA meets MOE without adjustments. Rows may be blank and blacked out if the LEA does not need to include all years under the &quot;subsequent years&quot; rule."/>
    </ext>
  </extLst>
</table>
</file>

<file path=xl/tables/table158.xml><?xml version="1.0" encoding="utf-8"?>
<table xmlns="http://schemas.openxmlformats.org/spreadsheetml/2006/main" id="169" name="ExcACalcsStateLocalTot1819" displayName="ExcACalcsStateLocalTot1819" ref="E16:F24" totalsRowShown="0" headerRowDxfId="973" dataDxfId="971" headerRowBorderDxfId="972" tableBorderDxfId="970" totalsRowBorderDxfId="969">
  <tableColumns count="2">
    <tableColumn id="1" name="Year" dataDxfId="968" dataCellStyle="Comma"/>
    <tableColumn id="2" name="Amount" dataDxfId="967"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8-19" altTextSummary="This table pulls data from the Exc &amp; Adj tabs to calculate exception (a) for the State and Local Total method for 2018-19. The table may be blank and blacked out if the LEA meets MOE without exceptions. Rows may be blank and blacked out if the LEA does not need to include all years under the &quot;subsequent years&quot; rule. "/>
    </ext>
  </extLst>
</table>
</file>

<file path=xl/tables/table159.xml><?xml version="1.0" encoding="utf-8"?>
<table xmlns="http://schemas.openxmlformats.org/spreadsheetml/2006/main" id="170" name="ExcBCalcsStateLocalTot1819" displayName="ExcBCalcsStateLocalTot1819" ref="E27:F35" totalsRowShown="0" headerRowDxfId="966" dataDxfId="964" headerRowBorderDxfId="965" tableBorderDxfId="963" totalsRowBorderDxfId="962">
  <tableColumns count="2">
    <tableColumn id="1" name="Year" dataDxfId="961" dataCellStyle="Comma"/>
    <tableColumn id="2" name="Amount" dataDxfId="960"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8-19" altTextSummary="This table pulls data from the Exc &amp; Adj tabs to calculate exception (b) for the State and Local Total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0.xml><?xml version="1.0" encoding="utf-8"?>
<table xmlns="http://schemas.openxmlformats.org/spreadsheetml/2006/main" id="171" name="ExcCCalcsStateLocalTot1819" displayName="ExcCCalcsStateLocalTot1819" ref="E42:F50" totalsRowShown="0" headerRowDxfId="959" dataDxfId="957" headerRowBorderDxfId="958" tableBorderDxfId="956">
  <tableColumns count="2">
    <tableColumn id="1" name="Year" dataDxfId="955" dataCellStyle="Comma"/>
    <tableColumn id="2" name="Amount" dataDxfId="95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8-19" altTextSummary="This table pulls data from the Exc &amp; Adj tabs to calculate exception (c) for the State and Local Total method for 2018-19. The table may be blank and blacked out if the LEA meets MOE without exceptions. Rows may be blank and blacked out if the LEA does not need to include all years under the &quot;subsequent years&quot; rule."/>
    </ext>
  </extLst>
</table>
</file>

<file path=xl/tables/table161.xml><?xml version="1.0" encoding="utf-8"?>
<table xmlns="http://schemas.openxmlformats.org/spreadsheetml/2006/main" id="172" name="ExcDCalcsStateLocalTot1819" displayName="ExcDCalcsStateLocalTot1819" ref="E54:F62" totalsRowShown="0" headerRowDxfId="953" dataDxfId="951" headerRowBorderDxfId="952" tableBorderDxfId="950" totalsRowBorderDxfId="949">
  <tableColumns count="2">
    <tableColumn id="1" name="Year" dataDxfId="948" dataCellStyle="Comma"/>
    <tableColumn id="2" name="Amount" dataDxfId="94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8-19" altTextSummary="This table pulls data from the Exc &amp; Adj tabs to calculate exception (d) for the State and Local Total method for 2018-19. The table may be blank and blacked out if the LEA meets MOE without exceptions. Rows may be blank and blacked out if the LEA does not need to include all years under the &quot;subsequent years&quot; rule."/>
    </ext>
  </extLst>
</table>
</file>

<file path=xl/tables/table162.xml><?xml version="1.0" encoding="utf-8"?>
<table xmlns="http://schemas.openxmlformats.org/spreadsheetml/2006/main" id="173" name="ExcECalcsStateLocalTot1819" displayName="ExcECalcsStateLocalTot1819" ref="E66:F74" totalsRowShown="0" headerRowDxfId="946" dataDxfId="944" headerRowBorderDxfId="945" tableBorderDxfId="943" totalsRowBorderDxfId="942">
  <tableColumns count="2">
    <tableColumn id="1" name="Year" dataDxfId="941" dataCellStyle="Comma"/>
    <tableColumn id="2" name="Amount" dataDxfId="940"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8-19" altTextSummary="This table pulls data from the Exc &amp; Adj tabs to calculate exception (e) for the State and Local Total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63.xml><?xml version="1.0" encoding="utf-8"?>
<table xmlns="http://schemas.openxmlformats.org/spreadsheetml/2006/main" id="174" name="AdjCalcsStateLocalTot1819" displayName="AdjCalcsStateLocalTot1819" ref="E79:F87" totalsRowShown="0" headerRowDxfId="939" dataDxfId="937" headerRowBorderDxfId="938" tableBorderDxfId="936" totalsRowBorderDxfId="935">
  <tableColumns count="2">
    <tableColumn id="1" name="Year" dataDxfId="934" dataCellStyle="Comma"/>
    <tableColumn id="2" name="Amount" dataDxfId="933"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8-19" altTextSummary="This table pulls data from the Exc &amp; Adj tabs to calculate the MOE adjustment for the State and Local Total method for 2018-19. The table may be blank and blacked out if the LEA meets MOE without adjustments. Rows may be blank and blacked out if the LEA does not need to include all years under the &quot;subsequent years&quot; rule."/>
    </ext>
  </extLst>
</table>
</file>

<file path=xl/tables/table164.xml><?xml version="1.0" encoding="utf-8"?>
<table xmlns="http://schemas.openxmlformats.org/spreadsheetml/2006/main" id="175" name="ExcACalcsLocalPerCap1819" displayName="ExcACalcsLocalPerCap1819" ref="I16:J24" totalsRowShown="0" headerRowDxfId="932" dataDxfId="930" headerRowBorderDxfId="931" tableBorderDxfId="929" totalsRowBorderDxfId="928">
  <tableColumns count="2">
    <tableColumn id="1" name="Year" dataDxfId="927" dataCellStyle="Comma"/>
    <tableColumn id="2" name="Amount" dataDxfId="926"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8-19" altTextSummary="This table pulls data from the Exc &amp; Adj tabs to calculate exception (a) for the Local Per Capita method for 2018-19. The table may be blank and blacked out if the LEA meets MOE without exceptions. Rows may be blank and blacked out if the LEA does not need to include all years under the &quot;subsequent years&quot; rule. "/>
    </ext>
  </extLst>
</table>
</file>

<file path=xl/tables/table165.xml><?xml version="1.0" encoding="utf-8"?>
<table xmlns="http://schemas.openxmlformats.org/spreadsheetml/2006/main" id="176" name="ExcBCalcsLocalPerCap1819" displayName="ExcBCalcsLocalPerCap1819" ref="I27:J35" totalsRowShown="0" headerRowDxfId="925" dataDxfId="923" headerRowBorderDxfId="924" tableBorderDxfId="922" totalsRowBorderDxfId="921">
  <tableColumns count="2">
    <tableColumn id="1" name="Year" dataDxfId="920" dataCellStyle="Comma"/>
    <tableColumn id="2" name="Amount" dataDxfId="919"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8-19" altTextSummary="This table pulls data from the Exc &amp; Adj tabs to calculate exception (b) for the Local Per Capita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6.xml><?xml version="1.0" encoding="utf-8"?>
<table xmlns="http://schemas.openxmlformats.org/spreadsheetml/2006/main" id="177" name="ExcCCalcsLocalPerCap1819" displayName="ExcCCalcsLocalPerCap1819" ref="I42:J50" totalsRowShown="0" headerRowDxfId="918" dataDxfId="916" headerRowBorderDxfId="917" tableBorderDxfId="915">
  <tableColumns count="2">
    <tableColumn id="1" name="Year" dataDxfId="914" dataCellStyle="Comma"/>
    <tableColumn id="2" name="Amount" dataDxfId="913"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8-19" altTextSummary="This table pulls data from the Exc &amp; Adj tabs to calculate exception (c) for the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67.xml><?xml version="1.0" encoding="utf-8"?>
<table xmlns="http://schemas.openxmlformats.org/spreadsheetml/2006/main" id="178" name="ExcDCalcsLocalPerCap1819" displayName="ExcDCalcsLocalPerCap1819" ref="I54:J62" totalsRowShown="0" headerRowDxfId="912" dataDxfId="910" headerRowBorderDxfId="911" tableBorderDxfId="909" totalsRowBorderDxfId="908">
  <tableColumns count="2">
    <tableColumn id="1" name="Year" dataDxfId="907" dataCellStyle="Comma"/>
    <tableColumn id="2" name="Amount" dataDxfId="906"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8-19" altTextSummary="This table pulls data from the Exc &amp; Adj tabs to calculate exception (d) for the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68.xml><?xml version="1.0" encoding="utf-8"?>
<table xmlns="http://schemas.openxmlformats.org/spreadsheetml/2006/main" id="179" name="ExcECalcsLocalPerCap1819" displayName="ExcECalcsLocalPerCap1819" ref="I66:J74" totalsRowShown="0" headerRowDxfId="905" headerRowBorderDxfId="904" tableBorderDxfId="903" totalsRowBorderDxfId="902">
  <tableColumns count="2">
    <tableColumn id="1" name="Year" dataDxfId="901" dataCellStyle="Comma"/>
    <tableColumn id="2" name="Amount" dataDxfId="900"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8-19" altTextSummary="This table pulls data from the Exc &amp; Adj tabs to calculate exception (e) for the Local Per Capita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69.xml><?xml version="1.0" encoding="utf-8"?>
<table xmlns="http://schemas.openxmlformats.org/spreadsheetml/2006/main" id="180" name="AdjCalcsLocalPerCap1819" displayName="AdjCalcsLocalPerCap1819" ref="I80:J88" totalsRowShown="0" headerRowDxfId="899" dataDxfId="897" headerRowBorderDxfId="898" tableBorderDxfId="896" totalsRowBorderDxfId="895">
  <tableColumns count="2">
    <tableColumn id="1" name="Year" dataDxfId="894" dataCellStyle="Comma"/>
    <tableColumn id="2" name="Amount" dataDxfId="893"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8-19" altTextSummary="This table pulls data from the Exc &amp; Adj tabs to calculate the MOE adjustment for the Local Per Capita method for 2018-19. The table may be blank and blacked out if the LEA meets MOE without adjustments. Rows may be blank and blacked out if the LEA does not need to include all years under the &quot;subsequent years&quot; rule."/>
    </ext>
  </extLst>
</table>
</file>

<file path=xl/tables/table170.xml><?xml version="1.0" encoding="utf-8"?>
<table xmlns="http://schemas.openxmlformats.org/spreadsheetml/2006/main" id="181" name="LocalPerCapResults1819" displayName="LocalPerCapResults1819" ref="I3:K11" totalsRowShown="0" headerRowDxfId="892" dataDxfId="891" tableBorderDxfId="890">
  <tableColumns count="3">
    <tableColumn id="1" name="Calculations" dataDxfId="889"/>
    <tableColumn id="2" name="Local Per Capita" dataDxfId="888" dataCellStyle="Currency"/>
    <tableColumn id="3" name="MOE Result" dataDxfId="887"/>
  </tableColumns>
  <tableStyleInfo name="TableStyleMedium9" showFirstColumn="0" showLastColumn="0" showRowStripes="1" showColumnStripes="0"/>
  <extLst>
    <ext xmlns:x14="http://schemas.microsoft.com/office/spreadsheetml/2009/9/main" uri="{504A1905-F514-4f6f-8877-14C23A59335A}">
      <x14:table altText="Local Per Capita MOE Results for 2018-19" altTextSummary="This table calculates the MOE Result for the Local Per Capita method for 2018-19. This table pulls from the Amounts tabs and Exc &amp; Adj tabs to determine the MOE Result."/>
    </ext>
  </extLst>
</table>
</file>

<file path=xl/tables/table171.xml><?xml version="1.0" encoding="utf-8"?>
<table xmlns="http://schemas.openxmlformats.org/spreadsheetml/2006/main" id="182" name="StateLocalPerCapResults1819" displayName="StateLocalPerCapResults1819" ref="M3:O11" totalsRowShown="0" headerRowDxfId="886" dataDxfId="885" tableBorderDxfId="884">
  <tableColumns count="3">
    <tableColumn id="1" name="Calculations" dataDxfId="883"/>
    <tableColumn id="2" name="State &amp; Local Per Capita" dataDxfId="882" dataCellStyle="Currency"/>
    <tableColumn id="3" name="MOE Result" dataDxfId="881"/>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8-19" altTextSummary="This table calculates the MOE Result for the State and Local Per Capita method for 2018-19. This table pulls from the Amounts tabs and Exc &amp; Adj tabs to determine the MOE Result."/>
    </ext>
  </extLst>
</table>
</file>

<file path=xl/tables/table172.xml><?xml version="1.0" encoding="utf-8"?>
<table xmlns="http://schemas.openxmlformats.org/spreadsheetml/2006/main" id="183" name="ExcACalcsStateLocalPerCap1819" displayName="ExcACalcsStateLocalPerCap1819" ref="M16:N24" totalsRowShown="0" headerRowDxfId="880" dataDxfId="878" headerRowBorderDxfId="879" tableBorderDxfId="877" totalsRowBorderDxfId="876">
  <tableColumns count="2">
    <tableColumn id="1" name="Year" dataDxfId="875" dataCellStyle="Comma"/>
    <tableColumn id="2" name="Amount" dataDxfId="874"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8-19" altTextSummary="This table pulls data from the Exc &amp; Adj tabs to calculate exception (a) for the State and Local Per Capita method for 2018-19. The table may be blank and blacked out if the LEA meets MOE without exceptions. Rows may be blank and blacked out if the LEA does not need to include all years under the &quot;subsequent years&quot; rule. "/>
    </ext>
  </extLst>
</table>
</file>

<file path=xl/tables/table173.xml><?xml version="1.0" encoding="utf-8"?>
<table xmlns="http://schemas.openxmlformats.org/spreadsheetml/2006/main" id="184" name="ExcBCalcsStateLocalPerCap1819" displayName="ExcBCalcsStateLocalPerCap1819" ref="M27:N35" totalsRowShown="0" headerRowDxfId="873" dataDxfId="871" headerRowBorderDxfId="872" tableBorderDxfId="870" totalsRowBorderDxfId="869">
  <tableColumns count="2">
    <tableColumn id="1" name="Year" dataDxfId="868" dataCellStyle="Comma"/>
    <tableColumn id="2" name="Amount" dataDxfId="867"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8-19" altTextSummary="This table pulls data from the Exc &amp; Adj tabs to calculate exception (b) for the State and Local Per Capita method for 2018-19.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74.xml><?xml version="1.0" encoding="utf-8"?>
<table xmlns="http://schemas.openxmlformats.org/spreadsheetml/2006/main" id="185" name="ExcCCalcsStateLocalPerCap1819" displayName="ExcCCalcsStateLocalPerCap1819" ref="M42:N50" totalsRowShown="0" headerRowDxfId="866" dataDxfId="864" headerRowBorderDxfId="865" tableBorderDxfId="863">
  <tableColumns count="2">
    <tableColumn id="1" name="Year" dataDxfId="862" dataCellStyle="Comma"/>
    <tableColumn id="2" name="Amount" dataDxfId="86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8-19" altTextSummary="This table pulls data from the Exc &amp; Adj tabs to calculate exception (c) for the State and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75.xml><?xml version="1.0" encoding="utf-8"?>
<table xmlns="http://schemas.openxmlformats.org/spreadsheetml/2006/main" id="186" name="ExcDCalcsStateLocalPerCap1819" displayName="ExcDCalcsStateLocalPerCap1819" ref="M54:N62" totalsRowShown="0" headerRowDxfId="860" dataDxfId="858" headerRowBorderDxfId="859" tableBorderDxfId="857" totalsRowBorderDxfId="856">
  <tableColumns count="2">
    <tableColumn id="1" name="Year" dataDxfId="855" dataCellStyle="Comma"/>
    <tableColumn id="2" name="Amount" dataDxfId="85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8-19" altTextSummary="This table pulls data from the Exc &amp; Adj tabs to calculate exception (d) for the State and Local Per Capita method for 2018-19. The table may be blank and blacked out if the LEA meets MOE without exceptions. Rows may be blank and blacked out if the LEA does not need to include all years under the &quot;subsequent years&quot; rule."/>
    </ext>
  </extLst>
</table>
</file>

<file path=xl/tables/table176.xml><?xml version="1.0" encoding="utf-8"?>
<table xmlns="http://schemas.openxmlformats.org/spreadsheetml/2006/main" id="187" name="ExcECalcsStateLocalPerCap1819" displayName="ExcECalcsStateLocalPerCap1819" ref="M66:N74" totalsRowShown="0" headerRowDxfId="853" headerRowBorderDxfId="852" tableBorderDxfId="851" totalsRowBorderDxfId="850">
  <tableColumns count="2">
    <tableColumn id="1" name="Year" dataDxfId="849" dataCellStyle="Comma"/>
    <tableColumn id="2" name="Amount" dataDxfId="84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8-19" altTextSummary="This table pulls data from the Exc &amp; Adj tabs to calculate exception (e) for the State and Local Per Capita method for 2018-19.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77.xml><?xml version="1.0" encoding="utf-8"?>
<table xmlns="http://schemas.openxmlformats.org/spreadsheetml/2006/main" id="188" name="AdjCalcsStateLocalPerCap1819" displayName="AdjCalcsStateLocalPerCap1819" ref="M80:N88" totalsRowShown="0" headerRowDxfId="847" dataDxfId="845" headerRowBorderDxfId="846" tableBorderDxfId="844" totalsRowBorderDxfId="843">
  <tableColumns count="2">
    <tableColumn id="1" name="Year" dataDxfId="842" dataCellStyle="Comma"/>
    <tableColumn id="2" name="Amount" dataDxfId="84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8-19" altTextSummary="This table pulls data from the Exc &amp; Adj tabs to calculate the MOE adjustment for the State and Local Per Capita method for 2018-19. The table may be blank and blacked out if the LEA meets MOE without adjustments. Rows may be blank and blacked out if the LEA does not need to include all years under the &quot;subsequent years&quot; rule."/>
    </ext>
  </extLst>
</table>
</file>

<file path=xl/tables/table178.xml><?xml version="1.0" encoding="utf-8"?>
<table xmlns="http://schemas.openxmlformats.org/spreadsheetml/2006/main" id="235" name="ExcADepartingData1819Budget" displayName="ExcADepartingData1819Budget" ref="A6:F12" totalsRowShown="0" headerRowDxfId="830" dataDxfId="828" headerRowBorderDxfId="829" tableBorderDxfId="827">
  <tableColumns count="6">
    <tableColumn id="1" name="Position Title" dataDxfId="826"/>
    <tableColumn id="2" name="Employee Name" dataDxfId="825"/>
    <tableColumn id="3" name="Reason for Leaving" dataDxfId="824"/>
    <tableColumn id="4" name="Salary" dataDxfId="823" dataCellStyle="Currency"/>
    <tableColumn id="5" name="Benefits" dataDxfId="822" dataCellStyle="Currency"/>
    <tableColumn id="8" name="Total Budget" dataDxfId="821"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8-19 Eligibility Standard" altTextSummary="Users can enter data in this table for any departing personnel projected for 2018-19. This table is for the eligiblity standard and is based on budget amounts."/>
    </ext>
  </extLst>
</table>
</file>

<file path=xl/tables/table179.xml><?xml version="1.0" encoding="utf-8"?>
<table xmlns="http://schemas.openxmlformats.org/spreadsheetml/2006/main" id="236" name="ExcAReplaceData1819Budget" displayName="ExcAReplaceData1819Budget" ref="A14:F20" totalsRowShown="0" headerRowDxfId="820" dataDxfId="818" headerRowBorderDxfId="819" tableBorderDxfId="817">
  <tableColumns count="6">
    <tableColumn id="1" name="Position Title" dataDxfId="816"/>
    <tableColumn id="2" name="Employee Name" dataDxfId="815"/>
    <tableColumn id="3" name="Column1" dataDxfId="814"/>
    <tableColumn id="4" name="Salary" dataDxfId="813" dataCellStyle="Currency"/>
    <tableColumn id="5" name="Benefits" dataDxfId="812" dataCellStyle="Currency"/>
    <tableColumn id="8" name="Total Budget" dataDxfId="811"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8-19 Eligiblity Standard" altTextSummary="Users can enter data in this table for any replacement personnel projected for 2018-19. This table is for the eligiblity standard and is based on budget amounts."/>
    </ext>
  </extLst>
</table>
</file>

<file path=xl/tables/table180.xml><?xml version="1.0" encoding="utf-8"?>
<table xmlns="http://schemas.openxmlformats.org/spreadsheetml/2006/main" id="237" name="ExcDData1819Budget" displayName="ExcDData1819Budget" ref="A50:B56" totalsRowShown="0" headerRowDxfId="810" dataDxfId="808" headerRowBorderDxfId="809" tableBorderDxfId="807">
  <tableColumns count="2">
    <tableColumn id="1" name="Description" dataDxfId="806"/>
    <tableColumn id="2" name="Budgeted Cost in Final Year " dataDxfId="805"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8-19 Eligibility Standard" altTextSummary="Users can enter data in this table for the projected termination of costly expenditures for long-term purchases for 2018-19. This table is for the eligiblity standard and is based on budget amounts."/>
    </ext>
  </extLst>
</table>
</file>

<file path=xl/tables/table181.xml><?xml version="1.0" encoding="utf-8"?>
<table xmlns="http://schemas.openxmlformats.org/spreadsheetml/2006/main" id="238" name="AdjData1819Budget" displayName="AdjData1819Budget" ref="A69:B70" totalsRowShown="0" headerRowDxfId="804" dataDxfId="802" headerRowBorderDxfId="803" tableBorderDxfId="801" totalsRowBorderDxfId="800">
  <tableColumns count="2">
    <tableColumn id="1" name="Column1" dataDxfId="799"/>
    <tableColumn id="2" name="Projected Adjustment" dataDxfId="798">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8-19 Eligiblity Standard" altTextSummary="Users can enter data in this table for the projected Adjustment to MOE for 2018-19. This table is for the eligiblity standard and is based on budget amounts. Use IDC's MOE Reduction Decision Tree and Calculator to determine the adjustment amount."/>
    </ext>
  </extLst>
</table>
</file>

<file path=xl/tables/table182.xml><?xml version="1.0" encoding="utf-8"?>
<table xmlns="http://schemas.openxmlformats.org/spreadsheetml/2006/main" id="239" name="ExcCData1819Budget" displayName="ExcCData1819Budget" ref="A40:C46" totalsRowShown="0" headerRowDxfId="797" dataDxfId="796" tableBorderDxfId="795">
  <tableColumns count="3">
    <tableColumn id="1" name="Student Identifier" dataDxfId="794"/>
    <tableColumn id="2" name="Reason" dataDxfId="793"/>
    <tableColumn id="3" name="Budgeted Cost" dataDxfId="792"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8-19 Eligiblity Standard" altTextSummary="Users can enter data in this table for the projected termination of the obligation to provide special education to a particular student that is an exceptionally costly program projected for 2018-19. This table is for the eligiblity standard and is based on budget amounts."/>
    </ext>
  </extLst>
</table>
</file>

<file path=xl/tables/table183.xml><?xml version="1.0" encoding="utf-8"?>
<table xmlns="http://schemas.openxmlformats.org/spreadsheetml/2006/main" id="240" name="ExcEData1819Budget" displayName="ExcEData1819Budget" ref="A60:B66" totalsRowShown="0" headerRowDxfId="791" tableBorderDxfId="790">
  <tableColumns count="2">
    <tableColumn id="1" name="Student Identifier" dataDxfId="789"/>
    <tableColumn id="2" name="Budgeted Cost Assumed by SEA" dataDxfId="78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8-19 Eligibility Standard" altTextSummary="Users can enter data for the projected assumption of cost by the high cost fund operated by the SEA for for 2018-19. This table is for the eligiblity standard and uses budget data. The table will be blank and blacked out if the SEA does not have a high cost fund under §300.704."/>
    </ext>
  </extLst>
</table>
</file>

<file path=xl/tables/table184.xml><?xml version="1.0" encoding="utf-8"?>
<table xmlns="http://schemas.openxmlformats.org/spreadsheetml/2006/main" id="241" name="ExcBAutoEnrollmentData1819Budget" displayName="ExcBAutoEnrollmentData1819Budget" ref="A28:B32" totalsRowShown="0" headerRowDxfId="787" dataDxfId="786">
  <tableColumns count="2">
    <tableColumn id="1" name="Column1" dataDxfId="785"/>
    <tableColumn id="2" name="Column2" dataDxfId="78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8-19 Eligiblity Standard" altTextSummary="This table automatically calculates the change in enrollment for 2018-19 to determine whether the LEA can apply exception (b). This table is for the eligiblity standard."/>
    </ext>
  </extLst>
</table>
</file>

<file path=xl/tables/table185.xml><?xml version="1.0" encoding="utf-8"?>
<table xmlns="http://schemas.openxmlformats.org/spreadsheetml/2006/main" id="242" name="ExcBAutoReductionData1819Budget" displayName="ExcBAutoReductionData1819Budget" ref="A33:C35" totalsRowShown="0" headerRowDxfId="783" dataDxfId="781" headerRowBorderDxfId="782" tableBorderDxfId="780" totalsRowBorderDxfId="779" headerRowCellStyle="Percent">
  <tableColumns count="3">
    <tableColumn id="1" name="Column1" dataDxfId="778"/>
    <tableColumn id="2" name="Local Total" dataDxfId="777">
      <calculatedColumnFormula>IF(B30&gt;=0,"",B31*B33)</calculatedColumnFormula>
    </tableColumn>
    <tableColumn id="3" name="State and Local Total" dataDxfId="776">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8-19 Eligiblity Standard" altTextSummary="This table automatically calculates the projected reduction based on a decrease in enrollment for 2018-19. This table is for the eligiblity standard and uses budget data. The table will be blank and blacked out if there is no decrease in enrollment or if the user selected manual entry for exception (b)."/>
    </ext>
  </extLst>
</table>
</file>

<file path=xl/tables/table186.xml><?xml version="1.0" encoding="utf-8"?>
<table xmlns="http://schemas.openxmlformats.org/spreadsheetml/2006/main" id="243" name="ExcBManualData1819Budget" displayName="ExcBManualData1819Budget" ref="A24:E25" totalsRowShown="0" headerRowDxfId="775" dataDxfId="773" headerRowBorderDxfId="774" tableBorderDxfId="772" totalsRowBorderDxfId="771" headerRowCellStyle="Percent">
  <tableColumns count="5">
    <tableColumn id="1" name="Column1" dataDxfId="770">
      <calculatedColumnFormula>IF(B31="","Projected Reduction",IF(B31&lt;0,"Projected Reduction",IF(B31&gt;=0,"Not eligible for this exception","Projected Reduction")))</calculatedColumnFormula>
    </tableColumn>
    <tableColumn id="2" name="Local Total" dataDxfId="769"/>
    <tableColumn id="3" name="State and Local Total" dataDxfId="768"/>
    <tableColumn id="4" name="Local Per Capita" dataDxfId="767"/>
    <tableColumn id="5" name="State and Local Per Capita" dataDxfId="76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8-19 Eligiblity Standard" altTextSummary="If users prefer to use their own method to calculate the reduction for exception (b), they can use this table for any projected reduction in 2018-19. This table is for the eligiblity standard and is based on budget amounts. This table will be blank and blacked out if users selected auto-calculation of exception (b) on the Getting Started tab or if there is no decrease in enrollment."/>
    </ext>
  </extLst>
</table>
</file>

<file path=xl/tables/table187.xml><?xml version="1.0" encoding="utf-8"?>
<table xmlns="http://schemas.openxmlformats.org/spreadsheetml/2006/main" id="244" name="ExcADepartingData1819Expenditures" displayName="ExcADepartingData1819Expenditures" ref="H6:M12" totalsRowShown="0" headerRowDxfId="765" dataDxfId="763" headerRowBorderDxfId="764" tableBorderDxfId="762">
  <tableColumns count="6">
    <tableColumn id="1" name="Position Title" dataDxfId="761"/>
    <tableColumn id="2" name="Employee Name" dataDxfId="760"/>
    <tableColumn id="3" name="Reason for Leaving" dataDxfId="759"/>
    <tableColumn id="4" name="Salary" dataDxfId="758" dataCellStyle="Currency"/>
    <tableColumn id="5" name="Benefits" dataDxfId="757" dataCellStyle="Currency"/>
    <tableColumn id="8" name="Total Expenditures" dataDxfId="756"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8-19 Compliance Standard" altTextSummary="Users can enter data in this table for any departing personnel for 2018-19. This table is for the compliance standard and is based on final expenditures."/>
    </ext>
  </extLst>
</table>
</file>

<file path=xl/tables/table188.xml><?xml version="1.0" encoding="utf-8"?>
<table xmlns="http://schemas.openxmlformats.org/spreadsheetml/2006/main" id="245" name="ExcAReplaceData1819Expenditures" displayName="ExcAReplaceData1819Expenditures" ref="H14:M20" totalsRowShown="0" headerRowDxfId="755" dataDxfId="753" headerRowBorderDxfId="754" tableBorderDxfId="752">
  <tableColumns count="6">
    <tableColumn id="1" name="Position Title" dataDxfId="751"/>
    <tableColumn id="2" name="Employee Name" dataDxfId="750"/>
    <tableColumn id="3" name="Column1" dataDxfId="749"/>
    <tableColumn id="4" name="Salary" dataDxfId="748" dataCellStyle="Currency"/>
    <tableColumn id="5" name="Benefits" dataDxfId="747" dataCellStyle="Currency"/>
    <tableColumn id="8" name="Total Expenditures" dataDxfId="74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8-19 Compliance Standard" altTextSummary="Users can enter data in this table for any replacement personnel for 2018-19. This table is for the compliance standard and is based on final expenditures."/>
    </ext>
  </extLst>
</table>
</file>

<file path=xl/tables/table189.xml><?xml version="1.0" encoding="utf-8"?>
<table xmlns="http://schemas.openxmlformats.org/spreadsheetml/2006/main" id="246" name="ExcDData1819Expenditures" displayName="ExcDData1819Expenditures" ref="H50:I56" totalsRowShown="0" headerRowDxfId="745" dataDxfId="743" headerRowBorderDxfId="744" tableBorderDxfId="742">
  <tableColumns count="2">
    <tableColumn id="1" name="Description" dataDxfId="741"/>
    <tableColumn id="2" name="Cost in Final Year of Expenditure" dataDxfId="74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8-19 Compliance Standard" altTextSummary="Users can enter data in this table for the termination of costly expenditures for long-term purchases for 2018-19. This table is for the compliance standard and is based on final expenditures."/>
    </ext>
  </extLst>
</table>
</file>

<file path=xl/tables/table190.xml><?xml version="1.0" encoding="utf-8"?>
<table xmlns="http://schemas.openxmlformats.org/spreadsheetml/2006/main" id="247" name="AdjData1819Expenditures" displayName="AdjData1819Expenditures" ref="H69:I70" totalsRowShown="0" headerRowDxfId="739" dataDxfId="737" headerRowBorderDxfId="738" tableBorderDxfId="736" totalsRowBorderDxfId="735">
  <tableColumns count="2">
    <tableColumn id="1" name="Column1" dataDxfId="734"/>
    <tableColumn id="2" name="Adjustment" dataDxfId="733">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8-19 Compliance Standard" altTextSummary="Users can enter data in this table for the Adjustment to MOE for 2018-19. This table is for the compliance standard and is based on final expenditures. Use IDC's MOE Reduction Decision Tree and Calculator to determine the adjustment amount."/>
    </ext>
  </extLst>
</table>
</file>

<file path=xl/tables/table191.xml><?xml version="1.0" encoding="utf-8"?>
<table xmlns="http://schemas.openxmlformats.org/spreadsheetml/2006/main" id="248" name="ExcCData1819Expenditures" displayName="ExcCData1819Expenditures" ref="H40:J46" totalsRowShown="0" headerRowDxfId="732" dataDxfId="731" tableBorderDxfId="730">
  <tableColumns count="3">
    <tableColumn id="1" name="Student Identifier" dataDxfId="729"/>
    <tableColumn id="2" name="Reason" dataDxfId="728"/>
    <tableColumn id="3" name="Expenditures" dataDxfId="72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8-19 Compliance Standard" altTextSummary="Users can enter data in this table for the termination of the obligation to provide special education to a particular student that is an exceptionally costly program projected for 2018-19. This table is for the compliance standard and is based on final expenditures."/>
    </ext>
  </extLst>
</table>
</file>

<file path=xl/tables/table192.xml><?xml version="1.0" encoding="utf-8"?>
<table xmlns="http://schemas.openxmlformats.org/spreadsheetml/2006/main" id="249" name="ExcEData1819Expenditures" displayName="ExcEData1819Expenditures" ref="H60:I66" totalsRowShown="0" headerRowDxfId="726" tableBorderDxfId="725">
  <tableColumns count="2">
    <tableColumn id="1" name="Student Identifier" dataDxfId="724"/>
    <tableColumn id="2" name="Cost Assumed by SEA" dataDxfId="723"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8-19 Compliance Standard" altTextSummary="Users can enter data for the assumption of cost by the high cost fund operated by the SEA for for 2018-19. This table is for the compliance standard and uses final expenditures. The table will be blank and blacked out if the SEA does not have a high cost fund under §300.704."/>
    </ext>
  </extLst>
</table>
</file>

<file path=xl/tables/table193.xml><?xml version="1.0" encoding="utf-8"?>
<table xmlns="http://schemas.openxmlformats.org/spreadsheetml/2006/main" id="250" name="ExcBAutoEnrollmentData1819Expenditures" displayName="ExcBAutoEnrollmentData1819Expenditures" ref="H28:I32" totalsRowShown="0" headerRowDxfId="722" dataDxfId="721">
  <tableColumns count="2">
    <tableColumn id="1" name="Column1" dataDxfId="720"/>
    <tableColumn id="2" name="Column2" dataDxfId="719"/>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8-19 Compliance Standard" altTextSummary="This table automatically calculates the change in enrollment for 2018-19 to determine whether the LEA can apply exception (b). This table is for the compliance standard."/>
    </ext>
  </extLst>
</table>
</file>

<file path=xl/tables/table194.xml><?xml version="1.0" encoding="utf-8"?>
<table xmlns="http://schemas.openxmlformats.org/spreadsheetml/2006/main" id="251" name="ExcBAutoReductionData1819Expenditures" displayName="ExcBAutoReductionData1819Expenditures" ref="H33:J35" totalsRowShown="0" headerRowDxfId="718" dataDxfId="716" headerRowBorderDxfId="717" tableBorderDxfId="715" totalsRowBorderDxfId="714" headerRowCellStyle="Percent">
  <tableColumns count="3">
    <tableColumn id="1" name="Column1" dataDxfId="713"/>
    <tableColumn id="2" name="Local Total" dataDxfId="712"/>
    <tableColumn id="3" name="State and Local Total" dataDxfId="711"/>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8-19 Compliance Standard" altTextSummary="This table automatically calculates the reduction based on a decrease in enrollment for 2018-19. This table is for the compliance standard and uses final expenditures. The table will be blank and blacked out if there is no decrease in enrollment or if the user selected manual entry for exception (b)."/>
    </ext>
  </extLst>
</table>
</file>

<file path=xl/tables/table195.xml><?xml version="1.0" encoding="utf-8"?>
<table xmlns="http://schemas.openxmlformats.org/spreadsheetml/2006/main" id="252" name="ExcBManualData1819Expenditures" displayName="ExcBManualData1819Expenditures" ref="H24:L25" totalsRowShown="0" headerRowDxfId="710" dataDxfId="708" headerRowBorderDxfId="709" tableBorderDxfId="707" totalsRowBorderDxfId="706" headerRowCellStyle="Percent">
  <tableColumns count="5">
    <tableColumn id="1" name="Column1" dataDxfId="705">
      <calculatedColumnFormula>IF(I31="","Allowed Reduction",IF(I31&lt;0,"Allowed Reduction",IF(I31&gt;=0,"Not eligible for this exception","Allowed Reduction")))</calculatedColumnFormula>
    </tableColumn>
    <tableColumn id="2" name="Local Total" dataDxfId="704"/>
    <tableColumn id="3" name="State and Local Total" dataDxfId="703"/>
    <tableColumn id="4" name="Local Per Capita" dataDxfId="702"/>
    <tableColumn id="5" name="State and Local Per Capita" dataDxfId="701"/>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8-19 Compliance Standard" altTextSummary="If users prefer to use their own method to calculate the reduction for exception (b), they can use this table for any reduction in 2018-19.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96.xml><?xml version="1.0" encoding="utf-8"?>
<table xmlns="http://schemas.openxmlformats.org/spreadsheetml/2006/main" id="42" name="Budget1920" displayName="Budget1920" ref="A4:F31" totalsRowShown="0" headerRowDxfId="699" dataDxfId="698" tableBorderDxfId="697">
  <tableColumns count="6">
    <tableColumn id="1" name="Object Description" dataDxfId="696"/>
    <tableColumn id="2" name="Code" dataDxfId="695"/>
    <tableColumn id="6" name="Code 2" dataDxfId="694"/>
    <tableColumn id="3" name="Local" dataDxfId="693" dataCellStyle="Currency"/>
    <tableColumn id="4" name="State" dataDxfId="692" dataCellStyle="Currency"/>
    <tableColumn id="5" name="State and Local" dataDxfId="691"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19-20" altTextSummary="In this table, users will enter their budget amounts for 2019-20. The column headers for the first three columns are unlocked and can be edited. If the LEA cannot separately budget for state and local funds, the &quot;Local&quot; column will be blacked out and is unavailable for data entry."/>
    </ext>
  </extLst>
</table>
</file>

<file path=xl/tables/table197.xml><?xml version="1.0" encoding="utf-8"?>
<table xmlns="http://schemas.openxmlformats.org/spreadsheetml/2006/main" id="43" name="Expenditures1920" displayName="Expenditures1920" ref="H4:M31" totalsRowShown="0" headerRowDxfId="690" dataDxfId="689" tableBorderDxfId="688">
  <tableColumns count="6">
    <tableColumn id="1" name="Object Description" dataDxfId="687"/>
    <tableColumn id="2" name="Code" dataDxfId="686"/>
    <tableColumn id="6" name="Code 2" dataDxfId="685"/>
    <tableColumn id="3" name="Local" dataDxfId="684" dataCellStyle="Currency"/>
    <tableColumn id="4" name="State" dataDxfId="683" dataCellStyle="Currency"/>
    <tableColumn id="5" name="State and Local" dataDxfId="682"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19-20" altTextSummary="In this table, users will enter the LEA's final expendituresfor 2019-20. The column headers for the first three columns are unlocked and can be edited. If the LEA cannot separately budget for state and local funds, the &quot;Local&quot; column will be blacked out and is unavailable for data entry."/>
    </ext>
  </extLst>
</table>
</file>

<file path=xl/tables/table198.xml><?xml version="1.0" encoding="utf-8"?>
<table xmlns="http://schemas.openxmlformats.org/spreadsheetml/2006/main" id="271" name="LocalTotResults1920" displayName="LocalTotResults1920" ref="A3:C11" totalsRowShown="0" headerRowDxfId="611" dataDxfId="609" headerRowBorderDxfId="610" tableBorderDxfId="608" totalsRowBorderDxfId="607">
  <tableColumns count="3">
    <tableColumn id="1" name="Calculations" dataDxfId="606"/>
    <tableColumn id="2" name="Local  Total" dataDxfId="605"/>
    <tableColumn id="3" name="MOE Result" dataDxfId="604">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19-20" altTextSummary="This table calculates the MOE Result for the Local Total method for 2019-20. This table pulls from the Amounts tabs and Exc &amp; Adj tabs to determine the MOE Result."/>
    </ext>
  </extLst>
</table>
</file>

<file path=xl/tables/table199.xml><?xml version="1.0" encoding="utf-8"?>
<table xmlns="http://schemas.openxmlformats.org/spreadsheetml/2006/main" id="272" name="StateLocalTotResults1920" displayName="StateLocalTotResults1920" ref="E3:G11" totalsRowShown="0" headerRowDxfId="603" dataDxfId="601" headerRowBorderDxfId="602" tableBorderDxfId="600" totalsRowBorderDxfId="599">
  <tableColumns count="3">
    <tableColumn id="1" name="Calculations" dataDxfId="598"/>
    <tableColumn id="2" name="State and Local Total" dataDxfId="597"/>
    <tableColumn id="3" name="MOE Result" dataDxfId="596">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19-20" altTextSummary="This table calculates the MOE Result for the State and Local Total method for 2019-20. This table pulls from the Amounts tabs and Exc &amp; Adj tabs to determine the MOE Result."/>
    </ext>
  </extLst>
</table>
</file>

<file path=xl/tables/table200.xml><?xml version="1.0" encoding="utf-8"?>
<table xmlns="http://schemas.openxmlformats.org/spreadsheetml/2006/main" id="273" name="ExcACalcsLocalTot1920" displayName="ExcACalcsLocalTot1920" ref="A16:B25" totalsRowShown="0" headerRowDxfId="595" dataDxfId="593" headerRowBorderDxfId="594" tableBorderDxfId="592" totalsRowBorderDxfId="591">
  <tableColumns count="2">
    <tableColumn id="1" name="Year" dataDxfId="590" dataCellStyle="Comma"/>
    <tableColumn id="2" name="Amount" dataDxfId="58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19-20" altTextSummary="This table pulls data from the Exc &amp; Adj tabs to calculate exception (a) for the Local Total method for 2019-20. The table may be blank and blacked out if the LEA meets MOE without exceptions. Rows may be blank and blacked out if the LEA does not need to include all years under the &quot;subsequent years&quot; rule. "/>
    </ext>
  </extLst>
</table>
</file>

<file path=xl/tables/table201.xml><?xml version="1.0" encoding="utf-8"?>
<table xmlns="http://schemas.openxmlformats.org/spreadsheetml/2006/main" id="274" name="ExcBCalcsLocalTot1920" displayName="ExcBCalcsLocalTot1920" ref="A28:B37" totalsRowShown="0" headerRowDxfId="588" dataDxfId="586" headerRowBorderDxfId="587" tableBorderDxfId="585" totalsRowBorderDxfId="584">
  <tableColumns count="2">
    <tableColumn id="1" name="Year" dataDxfId="583" dataCellStyle="Comma"/>
    <tableColumn id="2" name="Amount" dataDxfId="582"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19-20" altTextSummary="This table pulls data from the Exc &amp; Adj tabs to calculate exception (b) for the Local Total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02.xml><?xml version="1.0" encoding="utf-8"?>
<table xmlns="http://schemas.openxmlformats.org/spreadsheetml/2006/main" id="275" name="ExcCCalcsLocalTot1920" displayName="ExcCCalcsLocalTot1920" ref="A44:B53" totalsRowShown="0" headerRowDxfId="581" dataDxfId="579" headerRowBorderDxfId="580" tableBorderDxfId="578">
  <tableColumns count="2">
    <tableColumn id="1" name="Year" dataDxfId="577" dataCellStyle="Comma"/>
    <tableColumn id="2" name="Amount" dataDxfId="576"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19-20" altTextSummary="This table pulls data from the Exc &amp; Adj tabs to calculate exception (c) for the Local Total method for 2019-20. The table may be blank and blacked out if the LEA meets MOE without exceptions. Rows may be blank and blacked out if the LEA does not need to include all years under the &quot;subsequent years&quot; rule."/>
    </ext>
  </extLst>
</table>
</file>

<file path=xl/tables/table203.xml><?xml version="1.0" encoding="utf-8"?>
<table xmlns="http://schemas.openxmlformats.org/spreadsheetml/2006/main" id="276" name="ExcDCalcsLocalTot1920" displayName="ExcDCalcsLocalTot1920" ref="A57:B66" totalsRowShown="0" headerRowDxfId="575" dataDxfId="573" headerRowBorderDxfId="574" tableBorderDxfId="572" totalsRowBorderDxfId="571">
  <tableColumns count="2">
    <tableColumn id="1" name="Year" dataDxfId="570" dataCellStyle="Comma"/>
    <tableColumn id="2" name="Amount" dataDxfId="56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19-20" altTextSummary="This table pulls data from the Exc &amp; Adj tabs to calculate exception (d) for the Local Total method for 2019-20. The table may be blank and blacked out if the LEA meets MOE without exceptions. Rows may be blank and blacked out if the LEA does not need to include all years under the &quot;subsequent years&quot; rule."/>
    </ext>
  </extLst>
</table>
</file>

<file path=xl/tables/table204.xml><?xml version="1.0" encoding="utf-8"?>
<table xmlns="http://schemas.openxmlformats.org/spreadsheetml/2006/main" id="277" name="ExcECalcsLocalTot1920" displayName="ExcECalcsLocalTot1920" ref="A70:B79" totalsRowShown="0" headerRowDxfId="568" dataDxfId="566" headerRowBorderDxfId="567" tableBorderDxfId="565" totalsRowBorderDxfId="564">
  <tableColumns count="2">
    <tableColumn id="1" name="Year" dataDxfId="563" dataCellStyle="Comma"/>
    <tableColumn id="2" name="Amount" dataDxfId="562"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19-20" altTextSummary="This table pulls data from the Exc &amp; Adj tabs to calculate exception (e) for the Local Total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05.xml><?xml version="1.0" encoding="utf-8"?>
<table xmlns="http://schemas.openxmlformats.org/spreadsheetml/2006/main" id="278" name="AdjCalcsLocalTot1920" displayName="AdjCalcsLocalTot1920" ref="A84:B93" totalsRowShown="0" headerRowDxfId="561" dataDxfId="559" headerRowBorderDxfId="560" tableBorderDxfId="558" totalsRowBorderDxfId="557">
  <tableColumns count="2">
    <tableColumn id="1" name="Year" dataDxfId="556" dataCellStyle="Comma"/>
    <tableColumn id="2" name="Amount" dataDxfId="555"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19-20" altTextSummary="This table pulls data from the Exc &amp; Adj tabs to calculate the MOE adjustment for the Local Total method for 2019-20. The table may be blank and blacked out if the LEA meets MOE without adjustments. Rows may be blank and blacked out if the LEA does not need to include all years under the &quot;subsequent years&quot; rule."/>
    </ext>
  </extLst>
</table>
</file>

<file path=xl/tables/table206.xml><?xml version="1.0" encoding="utf-8"?>
<table xmlns="http://schemas.openxmlformats.org/spreadsheetml/2006/main" id="279" name="ExcACalcsStateLocalTot1920" displayName="ExcACalcsStateLocalTot1920" ref="E16:F25" totalsRowShown="0" headerRowDxfId="554" dataDxfId="552" headerRowBorderDxfId="553" tableBorderDxfId="551" totalsRowBorderDxfId="550">
  <tableColumns count="2">
    <tableColumn id="1" name="Year" dataDxfId="549" dataCellStyle="Comma"/>
    <tableColumn id="2" name="Amount" dataDxfId="548"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19-20" altTextSummary="This table pulls data from the Exc &amp; Adj tabs to calculate exception (a) for the State and Local Total method for 2019-20. The table may be blank and blacked out if the LEA meets MOE without exceptions. Rows may be blank and blacked out if the LEA does not need to include all years under the &quot;subsequent years&quot; rule. "/>
    </ext>
  </extLst>
</table>
</file>

<file path=xl/tables/table207.xml><?xml version="1.0" encoding="utf-8"?>
<table xmlns="http://schemas.openxmlformats.org/spreadsheetml/2006/main" id="280" name="ExcBCalcsStateLocalTot1920" displayName="ExcBCalcsStateLocalTot1920" ref="E28:F37" totalsRowShown="0" headerRowDxfId="547" dataDxfId="545" headerRowBorderDxfId="546" tableBorderDxfId="544" totalsRowBorderDxfId="543">
  <tableColumns count="2">
    <tableColumn id="1" name="Year" dataDxfId="542" dataCellStyle="Comma"/>
    <tableColumn id="2" name="Amount" dataDxfId="54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19-20" altTextSummary="This table pulls data from the Exc &amp; Adj tabs to calculate exception (b) for the State and Local Total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08.xml><?xml version="1.0" encoding="utf-8"?>
<table xmlns="http://schemas.openxmlformats.org/spreadsheetml/2006/main" id="281" name="ExcCCalcsStateLocalTot1920" displayName="ExcCCalcsStateLocalTot1920" ref="E44:F53" totalsRowShown="0" headerRowDxfId="540" dataDxfId="538" headerRowBorderDxfId="539" tableBorderDxfId="537">
  <tableColumns count="2">
    <tableColumn id="1" name="Year" dataDxfId="536" dataCellStyle="Comma"/>
    <tableColumn id="2" name="Amount" dataDxfId="53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19-20" altTextSummary="This table pulls data from the Exc &amp; Adj tabs to calculate exception (c) for the State and Local Total method for 2019-20. The table may be blank and blacked out if the LEA meets MOE without exceptions. Rows may be blank and blacked out if the LEA does not need to include all years under the &quot;subsequent years&quot; rule."/>
    </ext>
  </extLst>
</table>
</file>

<file path=xl/tables/table209.xml><?xml version="1.0" encoding="utf-8"?>
<table xmlns="http://schemas.openxmlformats.org/spreadsheetml/2006/main" id="282" name="ExcDCalcsStateLocalTot1920" displayName="ExcDCalcsStateLocalTot1920" ref="E57:F66" totalsRowShown="0" headerRowDxfId="534" headerRowBorderDxfId="533" tableBorderDxfId="532" totalsRowBorderDxfId="531">
  <tableColumns count="2">
    <tableColumn id="1" name="Year" dataDxfId="530" dataCellStyle="Comma"/>
    <tableColumn id="2" name="Amount" dataDxfId="52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19-20" altTextSummary="This table pulls data from the Exc &amp; Adj tabs to calculate exception (d) for the State and Local Total method for 2019-20. The table may be blank and blacked out if the LEA meets MOE without exceptions. Rows may be blank and blacked out if the LEA does not need to include all years under the &quot;subsequent years&quot; rule."/>
    </ext>
  </extLst>
</table>
</file>

<file path=xl/tables/table210.xml><?xml version="1.0" encoding="utf-8"?>
<table xmlns="http://schemas.openxmlformats.org/spreadsheetml/2006/main" id="283" name="ExcECalcsStateLocalTot1920" displayName="ExcECalcsStateLocalTot1920" ref="E70:F79" totalsRowShown="0" headerRowDxfId="528" headerRowBorderDxfId="527" tableBorderDxfId="526" totalsRowBorderDxfId="525">
  <tableColumns count="2">
    <tableColumn id="1" name="Year" dataDxfId="524" dataCellStyle="Comma"/>
    <tableColumn id="2" name="Amount" dataDxfId="52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19-20" altTextSummary="This table pulls data from the Exc &amp; Adj tabs to calculate exception (e) for the State and Local Total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11.xml><?xml version="1.0" encoding="utf-8"?>
<table xmlns="http://schemas.openxmlformats.org/spreadsheetml/2006/main" id="284" name="AdjCalcsStateLocalTot1920" displayName="AdjCalcsStateLocalTot1920" ref="E84:F93" totalsRowShown="0" headerRowDxfId="522" headerRowBorderDxfId="521" tableBorderDxfId="520" totalsRowBorderDxfId="519">
  <tableColumns count="2">
    <tableColumn id="1" name="Year" dataDxfId="518" dataCellStyle="Comma"/>
    <tableColumn id="2" name="Amount" dataDxfId="517"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19-20" altTextSummary="This table pulls data from the Exc &amp; Adj tabs to calculate the MOE adjustment for the State and Local Total method for 2019-20. The table may be blank and blacked out if the LEA meets MOE without adjustments. Rows may be blank and blacked out if the LEA does not need to include all years under the &quot;subsequent years&quot; rule."/>
    </ext>
  </extLst>
</table>
</file>

<file path=xl/tables/table212.xml><?xml version="1.0" encoding="utf-8"?>
<table xmlns="http://schemas.openxmlformats.org/spreadsheetml/2006/main" id="285" name="ExcACalcsLocalPerCap1920" displayName="ExcACalcsLocalPerCap1920" ref="I16:J25" totalsRowShown="0" headerRowDxfId="516" dataDxfId="514" headerRowBorderDxfId="515" tableBorderDxfId="513" totalsRowBorderDxfId="512">
  <tableColumns count="2">
    <tableColumn id="1" name="Year" dataDxfId="511" dataCellStyle="Comma"/>
    <tableColumn id="2" name="Amount" dataDxfId="51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19-20" altTextSummary="This table pulls data from the Exc &amp; Adj tabs to calculate exception (a) for the Local Per Capita method for 2019-20. The table may be blank and blacked out if the LEA meets MOE without exceptions. Rows may be blank and blacked out if the LEA does not need to include all years under the &quot;subsequent years&quot; rule. "/>
    </ext>
  </extLst>
</table>
</file>

<file path=xl/tables/table213.xml><?xml version="1.0" encoding="utf-8"?>
<table xmlns="http://schemas.openxmlformats.org/spreadsheetml/2006/main" id="286" name="ExcBCalcsLocalPerCap1920" displayName="ExcBCalcsLocalPerCap1920" ref="I28:J37" totalsRowShown="0" headerRowDxfId="509" dataDxfId="507" headerRowBorderDxfId="508" tableBorderDxfId="506" totalsRowBorderDxfId="505">
  <tableColumns count="2">
    <tableColumn id="1" name="Year" dataDxfId="504" dataCellStyle="Comma"/>
    <tableColumn id="2" name="Amount" dataDxfId="50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19-20" altTextSummary="This table pulls data from the Exc &amp; Adj tabs to calculate exception (b) for the Local Per Capita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14.xml><?xml version="1.0" encoding="utf-8"?>
<table xmlns="http://schemas.openxmlformats.org/spreadsheetml/2006/main" id="287" name="ExcCCalcsLocalPerCap1920" displayName="ExcCCalcsLocalPerCap1920" ref="I44:J53" totalsRowShown="0" headerRowDxfId="502" dataDxfId="500" headerRowBorderDxfId="501" tableBorderDxfId="499">
  <tableColumns count="2">
    <tableColumn id="1" name="Year" dataDxfId="498" dataCellStyle="Comma"/>
    <tableColumn id="2" name="Amount" dataDxfId="49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19-20" altTextSummary="This table pulls data from the Exc &amp; Adj tabs to calculate exception (c) for the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15.xml><?xml version="1.0" encoding="utf-8"?>
<table xmlns="http://schemas.openxmlformats.org/spreadsheetml/2006/main" id="288" name="ExcDCalcsLocalPerCap1920" displayName="ExcDCalcsLocalPerCap1920" ref="I57:J66" totalsRowShown="0" headerRowDxfId="496" headerRowBorderDxfId="495" tableBorderDxfId="494" totalsRowBorderDxfId="493">
  <tableColumns count="2">
    <tableColumn id="1" name="Year" dataDxfId="492" dataCellStyle="Comma"/>
    <tableColumn id="2" name="Amount" dataDxfId="49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19-20" altTextSummary="This table pulls data from the Exc &amp; Adj tabs to calculate exception (d) for the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16.xml><?xml version="1.0" encoding="utf-8"?>
<table xmlns="http://schemas.openxmlformats.org/spreadsheetml/2006/main" id="289" name="ExcECalcsLocalPerCap1920" displayName="ExcECalcsLocalPerCap1920" ref="I70:J79" totalsRowShown="0" headerRowDxfId="490" headerRowBorderDxfId="489" tableBorderDxfId="488" totalsRowBorderDxfId="487">
  <tableColumns count="2">
    <tableColumn id="1" name="Year" dataDxfId="486" dataCellStyle="Comma"/>
    <tableColumn id="2" name="Amount" dataDxfId="48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19-20" altTextSummary="This table pulls data from the Exc &amp; Adj tabs to calculate exception (e) for the Local Per Capita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17.xml><?xml version="1.0" encoding="utf-8"?>
<table xmlns="http://schemas.openxmlformats.org/spreadsheetml/2006/main" id="290" name="AdjCalcsLocalPerCap1920" displayName="AdjCalcsLocalPerCap1920" ref="I85:J94" totalsRowShown="0" headerRowDxfId="484" headerRowBorderDxfId="483" tableBorderDxfId="482" totalsRowBorderDxfId="481">
  <tableColumns count="2">
    <tableColumn id="1" name="Year" dataDxfId="480" dataCellStyle="Comma"/>
    <tableColumn id="2" name="Amount" dataDxfId="47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19-20" altTextSummary="This table pulls data from the Exc &amp; Adj tabs to calculate the MOE adjustment for the Local Per Capita method for 2019-20. The table may be blank and blacked out if the LEA meets MOE without adjustments. Rows may be blank and blacked out if the LEA does not need to include all years under the &quot;subsequent years&quot; rule."/>
    </ext>
  </extLst>
</table>
</file>

<file path=xl/tables/table218.xml><?xml version="1.0" encoding="utf-8"?>
<table xmlns="http://schemas.openxmlformats.org/spreadsheetml/2006/main" id="291" name="LocalPerCapResults1920" displayName="LocalPerCapResults1920" ref="I3:K11" totalsRowShown="0" headerRowDxfId="478" dataDxfId="477" tableBorderDxfId="476">
  <tableColumns count="3">
    <tableColumn id="1" name="Calculations" dataDxfId="475"/>
    <tableColumn id="2" name="Local Per Capita" dataDxfId="474" dataCellStyle="Currency"/>
    <tableColumn id="3" name="MOE Result" dataDxfId="473"/>
  </tableColumns>
  <tableStyleInfo name="TableStyleMedium9" showFirstColumn="0" showLastColumn="0" showRowStripes="0" showColumnStripes="0"/>
  <extLst>
    <ext xmlns:x14="http://schemas.microsoft.com/office/spreadsheetml/2009/9/main" uri="{504A1905-F514-4f6f-8877-14C23A59335A}">
      <x14:table altText="Local Per Capita MOE Results for 2019-20" altTextSummary="This table calculates the MOE Result for the Local Per Capita method for 2019-20. This table pulls from the Amounts tabs and Exc &amp; Adj tabs to determine the MOE Result."/>
    </ext>
  </extLst>
</table>
</file>

<file path=xl/tables/table219.xml><?xml version="1.0" encoding="utf-8"?>
<table xmlns="http://schemas.openxmlformats.org/spreadsheetml/2006/main" id="292" name="StateLocalPerCapResults1920" displayName="StateLocalPerCapResults1920" ref="M3:O11" totalsRowShown="0" headerRowDxfId="472" dataDxfId="471" tableBorderDxfId="470">
  <tableColumns count="3">
    <tableColumn id="1" name="Calculations" dataDxfId="469"/>
    <tableColumn id="2" name="State &amp; Local Per Capita" dataDxfId="468" dataCellStyle="Currency"/>
    <tableColumn id="3" name="MOE Result" dataDxfId="467"/>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19-20" altTextSummary="This table calculates the MOE Result for the State and Local Per Capita method for 2019-20. This table pulls from the Amounts tabs and Exc &amp; Adj tabs to determine the MOE Result."/>
    </ext>
  </extLst>
</table>
</file>

<file path=xl/tables/table220.xml><?xml version="1.0" encoding="utf-8"?>
<table xmlns="http://schemas.openxmlformats.org/spreadsheetml/2006/main" id="293" name="ExcACalcsStateLocalPerCap1920" displayName="ExcACalcsStateLocalPerCap1920" ref="M16:N25" totalsRowShown="0" headerRowDxfId="466" dataDxfId="464" headerRowBorderDxfId="465" tableBorderDxfId="463" totalsRowBorderDxfId="462">
  <tableColumns count="2">
    <tableColumn id="1" name="Year" dataDxfId="461" dataCellStyle="Comma"/>
    <tableColumn id="2" name="Amount" dataDxfId="46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19-20" altTextSummary="This table pulls data from the Exc &amp; Adj tabs to calculate exception (a) for the State and Local Per Capita method for 2019-20. The table may be blank and blacked out if the LEA meets MOE without exceptions. Rows may be blank and blacked out if the LEA does not need to include all years under the &quot;subsequent years&quot; rule. "/>
    </ext>
  </extLst>
</table>
</file>

<file path=xl/tables/table221.xml><?xml version="1.0" encoding="utf-8"?>
<table xmlns="http://schemas.openxmlformats.org/spreadsheetml/2006/main" id="294" name="ExcBCalcsStateLocalPerCap1920" displayName="ExcBCalcsStateLocalPerCap1920" ref="M28:N37" totalsRowShown="0" headerRowDxfId="459" dataDxfId="457" headerRowBorderDxfId="458" tableBorderDxfId="456" totalsRowBorderDxfId="455">
  <tableColumns count="2">
    <tableColumn id="1" name="Year" dataDxfId="454" dataCellStyle="Comma"/>
    <tableColumn id="2" name="Amount" dataDxfId="45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19-20" altTextSummary="This table pulls data from the Exc &amp; Adj tabs to calculate exception (b) for the State and Local Per Capita method for 2019-20.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22.xml><?xml version="1.0" encoding="utf-8"?>
<table xmlns="http://schemas.openxmlformats.org/spreadsheetml/2006/main" id="295" name="ExcCCalcsStateLocalPerCap1920" displayName="ExcCCalcsStateLocalPerCap1920" ref="M44:N53" totalsRowShown="0" headerRowDxfId="452" dataDxfId="450" headerRowBorderDxfId="451" tableBorderDxfId="449">
  <tableColumns count="2">
    <tableColumn id="1" name="Year" dataDxfId="448" dataCellStyle="Comma"/>
    <tableColumn id="2" name="Amount" dataDxfId="44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19-20" altTextSummary="This table pulls data from the Exc &amp; Adj tabs to calculate exception (c) for the State and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23.xml><?xml version="1.0" encoding="utf-8"?>
<table xmlns="http://schemas.openxmlformats.org/spreadsheetml/2006/main" id="296" name="ExcDCalcsStateLocalPerCap1920" displayName="ExcDCalcsStateLocalPerCap1920" ref="M57:N66" totalsRowShown="0" headerRowDxfId="446" headerRowBorderDxfId="445" tableBorderDxfId="444" totalsRowBorderDxfId="443">
  <tableColumns count="2">
    <tableColumn id="1" name="Year" dataDxfId="442" dataCellStyle="Comma"/>
    <tableColumn id="2" name="Amount" dataDxfId="44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19-20" altTextSummary="This table pulls data from the Exc &amp; Adj tabs to calculate exception (d) for the State and Local Per Capita method for 2019-20. The table may be blank and blacked out if the LEA meets MOE without exceptions. Rows may be blank and blacked out if the LEA does not need to include all years under the &quot;subsequent years&quot; rule."/>
    </ext>
  </extLst>
</table>
</file>

<file path=xl/tables/table224.xml><?xml version="1.0" encoding="utf-8"?>
<table xmlns="http://schemas.openxmlformats.org/spreadsheetml/2006/main" id="297" name="ExcECalcsStateLocalPerCap1920" displayName="ExcECalcsStateLocalPerCap1920" ref="M70:N79" totalsRowShown="0" headerRowDxfId="440" headerRowBorderDxfId="439" tableBorderDxfId="438" totalsRowBorderDxfId="437">
  <tableColumns count="2">
    <tableColumn id="1" name="Year" dataDxfId="436" dataCellStyle="Comma"/>
    <tableColumn id="2" name="Amount" dataDxfId="43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19-20" altTextSummary="This table pulls data from the Exc &amp; Adj tabs to calculate exception (e) for the State and Local Per Capita method for 2019-20.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25.xml><?xml version="1.0" encoding="utf-8"?>
<table xmlns="http://schemas.openxmlformats.org/spreadsheetml/2006/main" id="298" name="AdjCalcsStateLocalPerCap1920" displayName="AdjCalcsStateLocalPerCap1920" ref="M85:N94" totalsRowShown="0" headerRowDxfId="434" headerRowBorderDxfId="433" tableBorderDxfId="432" totalsRowBorderDxfId="431">
  <tableColumns count="2">
    <tableColumn id="1" name="Year" dataDxfId="430" dataCellStyle="Comma"/>
    <tableColumn id="2" name="Amount" dataDxfId="42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19-20" altTextSummary="This table pulls data from the Exc &amp; Adj tabs to calculate the MOE adjustment for the State and Local Per Capita method for 2019-20. The table may be blank and blacked out if the LEA meets MOE without adjustments. Rows may be blank and blacked out if the LEA does not need to include all years under the &quot;subsequent years&quot; rule."/>
    </ext>
  </extLst>
</table>
</file>

<file path=xl/tables/table226.xml><?xml version="1.0" encoding="utf-8"?>
<table xmlns="http://schemas.openxmlformats.org/spreadsheetml/2006/main" id="253" name="ExcADepartingData1920Budget" displayName="ExcADepartingData1920Budget" ref="A6:F12" totalsRowShown="0" headerRowDxfId="417" dataDxfId="415" headerRowBorderDxfId="416" tableBorderDxfId="414">
  <tableColumns count="6">
    <tableColumn id="1" name="Position Title" dataDxfId="413"/>
    <tableColumn id="2" name="Employee Name" dataDxfId="412"/>
    <tableColumn id="3" name="Reason for Leaving" dataDxfId="411"/>
    <tableColumn id="4" name="Salary" dataDxfId="410" dataCellStyle="Currency"/>
    <tableColumn id="5" name="Benefits" dataDxfId="409" dataCellStyle="Currency"/>
    <tableColumn id="8" name="Total Budget" dataDxfId="40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9-20 Eligibility Standard" altTextSummary="Users can enter data in this table for any departing personnel projected for 2019-20. This table is for the eligiblity standard and is based on budget amounts."/>
    </ext>
  </extLst>
</table>
</file>

<file path=xl/tables/table227.xml><?xml version="1.0" encoding="utf-8"?>
<table xmlns="http://schemas.openxmlformats.org/spreadsheetml/2006/main" id="254" name="ExcAReplaceData1920Budget" displayName="ExcAReplaceData1920Budget" ref="A14:F20" totalsRowShown="0" headerRowDxfId="407" dataDxfId="405" headerRowBorderDxfId="406" tableBorderDxfId="404">
  <tableColumns count="6">
    <tableColumn id="1" name="Position Title" dataDxfId="403"/>
    <tableColumn id="2" name="Employee Name" dataDxfId="402"/>
    <tableColumn id="3" name="Column1" dataDxfId="401"/>
    <tableColumn id="4" name="Salary" dataDxfId="400" dataCellStyle="Currency"/>
    <tableColumn id="5" name="Benefits" dataDxfId="399" dataCellStyle="Currency"/>
    <tableColumn id="8" name="Total Budget" dataDxfId="39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9-20 Eligibility Standard" altTextSummary="Users can enter data in this table for any replacement personnel projected for 2019-20. This table is for the eligiblity standard and is based on budget amounts."/>
    </ext>
  </extLst>
</table>
</file>

<file path=xl/tables/table228.xml><?xml version="1.0" encoding="utf-8"?>
<table xmlns="http://schemas.openxmlformats.org/spreadsheetml/2006/main" id="255" name="ExcDData1920Budget" displayName="ExcDData1920Budget" ref="A50:B56" totalsRowShown="0" headerRowDxfId="397" dataDxfId="395" headerRowBorderDxfId="396" tableBorderDxfId="394">
  <tableColumns count="2">
    <tableColumn id="1" name="Description" dataDxfId="393"/>
    <tableColumn id="2" name="Budgeted Cost in Final Year " dataDxfId="39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9-20 Eligiblity Standard" altTextSummary="Users can enter data in this table for the projected termination of costly expenditures for long-term purchases for 2019-20. This table is for the eligiblity standard and is based on budget amounts."/>
    </ext>
  </extLst>
</table>
</file>

<file path=xl/tables/table229.xml><?xml version="1.0" encoding="utf-8"?>
<table xmlns="http://schemas.openxmlformats.org/spreadsheetml/2006/main" id="256" name="AdjData1920Budget" displayName="AdjData1920Budget" ref="A69:B70" totalsRowShown="0" headerRowDxfId="391" dataDxfId="389" headerRowBorderDxfId="390" tableBorderDxfId="388" totalsRowBorderDxfId="387">
  <tableColumns count="2">
    <tableColumn id="1" name="Column1" dataDxfId="386"/>
    <tableColumn id="2" name="Projected Adjustment" dataDxfId="385">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9-20 Eligiblity Standard" altTextSummary="Users can enter data in this table for the projected Adjustment to MOE for 2019-20. This table is for the eligiblity standard and is based on budget amounts. Use IDC's MOE Reduction Decision Tree and Calculator to determine the adjustment amount."/>
    </ext>
  </extLst>
</table>
</file>

<file path=xl/tables/table230.xml><?xml version="1.0" encoding="utf-8"?>
<table xmlns="http://schemas.openxmlformats.org/spreadsheetml/2006/main" id="257" name="ExcCData1920Budget" displayName="ExcCData1920Budget" ref="A40:C46" totalsRowShown="0" headerRowDxfId="384" dataDxfId="383" tableBorderDxfId="382">
  <tableColumns count="3">
    <tableColumn id="1" name="Student Identifier" dataDxfId="381"/>
    <tableColumn id="2" name="Reason" dataDxfId="380"/>
    <tableColumn id="3" name="Budgeted Cost" dataDxfId="379" dataCellStyle="Currency"/>
  </tableColumns>
  <tableStyleInfo name="TableStyleMedium9" showFirstColumn="0" showLastColumn="0" showRowStripes="1" showColumnStripes="0"/>
  <extLst>
    <ext xmlns:x14="http://schemas.microsoft.com/office/spreadsheetml/2009/9/main" uri="{504A1905-F514-4f6f-8877-14C23A59335A}">
      <x14:table altText="Exception (c) Calculations for 2019-20 Eligiblity Standard" altTextSummary="Users can enter data in this table for the projected termination of the obligation to provide special education to a particular student that is an exceptionally costly program projected for 2019-20. This table is for the eligiblity standard and is based on budget amounts."/>
    </ext>
  </extLst>
</table>
</file>

<file path=xl/tables/table231.xml><?xml version="1.0" encoding="utf-8"?>
<table xmlns="http://schemas.openxmlformats.org/spreadsheetml/2006/main" id="258" name="ExcEData1920Budget" displayName="ExcEData1920Budget" ref="A60:B66" totalsRowShown="0" headerRowDxfId="378" tableBorderDxfId="377">
  <tableColumns count="2">
    <tableColumn id="1" name="Student Identifier" dataDxfId="376"/>
    <tableColumn id="2" name="Budgeted Cost Assumed by SEA" dataDxfId="375"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9-20 Eligiblity Standard" altTextSummary="Users can enter data for the projected assumption of cost by the high cost fund operated by the SEA for for 2019-20. This table is for the eligiblity standard and uses budget data. The table will be blank and blacked out if the SEA does not have a high cost fund under §300.704."/>
    </ext>
  </extLst>
</table>
</file>

<file path=xl/tables/table232.xml><?xml version="1.0" encoding="utf-8"?>
<table xmlns="http://schemas.openxmlformats.org/spreadsheetml/2006/main" id="259" name="ExcBAutoEnrollmentData1920Budget" displayName="ExcBAutoEnrollmentData1920Budget" ref="A28:B32" totalsRowShown="0" headerRowDxfId="374" dataDxfId="373">
  <tableColumns count="2">
    <tableColumn id="1" name="Column1" dataDxfId="372"/>
    <tableColumn id="2" name="Column2" dataDxfId="371"/>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9-20 Eligiblity Standard" altTextSummary="This table automatically calculates the change in enrollment for 2019-20 to determine whether the LEA can apply exception (b). This table is for the eligiblity standard."/>
    </ext>
  </extLst>
</table>
</file>

<file path=xl/tables/table233.xml><?xml version="1.0" encoding="utf-8"?>
<table xmlns="http://schemas.openxmlformats.org/spreadsheetml/2006/main" id="260" name="ExcBAutoReductionData1920Budget" displayName="ExcBAutoReductionData1920Budget" ref="A33:C35" totalsRowShown="0" headerRowDxfId="370" dataDxfId="368" headerRowBorderDxfId="369" tableBorderDxfId="367" totalsRowBorderDxfId="366" headerRowCellStyle="Percent">
  <tableColumns count="3">
    <tableColumn id="1" name="Column1" dataDxfId="365"/>
    <tableColumn id="2" name="Local Total" dataDxfId="364">
      <calculatedColumnFormula>IF(B30&gt;=0,"",B31*B33)</calculatedColumnFormula>
    </tableColumn>
    <tableColumn id="3" name="State and Local Total" dataDxfId="363">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9-20 Eligibility Standard" altTextSummary="This table automatically calculates the projected reduction based on a decrease in enrollment for 2019-20. This table is for the eligiblity standard and uses budget data. The table will be blank and blacked out if there is no decrease in enrollment or if the user selected manual entry for exception (b)."/>
    </ext>
  </extLst>
</table>
</file>

<file path=xl/tables/table234.xml><?xml version="1.0" encoding="utf-8"?>
<table xmlns="http://schemas.openxmlformats.org/spreadsheetml/2006/main" id="261" name="ExcBManualData1920Budget" displayName="ExcBManualData1920Budget" ref="A24:E25" totalsRowShown="0" headerRowDxfId="362" dataDxfId="360" headerRowBorderDxfId="361" tableBorderDxfId="359" totalsRowBorderDxfId="358" headerRowCellStyle="Percent">
  <tableColumns count="5">
    <tableColumn id="1" name="Column1" dataDxfId="357">
      <calculatedColumnFormula>IF(B31="","Projected Reduction",IF(B31&lt;0,"Projected Reduction",IF(B31&gt;=0,"Not eligible for this exception","Projected Reduction")))</calculatedColumnFormula>
    </tableColumn>
    <tableColumn id="2" name="Local Total" dataDxfId="356"/>
    <tableColumn id="3" name="State and Local Total" dataDxfId="355"/>
    <tableColumn id="4" name="Local Per Capita" dataDxfId="354"/>
    <tableColumn id="5" name="State and Local Per Capita" dataDxfId="353"/>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9-20 Eligiblity Standard" altTextSummary="If users prefer to use their own method to calculate the reduction for exception (b), they can use this table for any projected reduction in 2019-20. This table is for the eligiblity standard and is based on budget amounts. This table will be blank and blacked out if users selected auto-calculation of exception (b) on the Getting Started tab or if there is no decrease in enrollment."/>
    </ext>
  </extLst>
</table>
</file>

<file path=xl/tables/table235.xml><?xml version="1.0" encoding="utf-8"?>
<table xmlns="http://schemas.openxmlformats.org/spreadsheetml/2006/main" id="262" name="ExcADepartingData1920Expenditures" displayName="ExcADepartingData1920Expenditures" ref="H6:M12" totalsRowShown="0" headerRowDxfId="352" dataDxfId="350" headerRowBorderDxfId="351" tableBorderDxfId="349">
  <tableColumns count="6">
    <tableColumn id="1" name="Position Title" dataDxfId="348"/>
    <tableColumn id="2" name="Employee Name" dataDxfId="347"/>
    <tableColumn id="3" name="Reason for Leaving" dataDxfId="346"/>
    <tableColumn id="4" name="Salary" dataDxfId="345" dataCellStyle="Currency"/>
    <tableColumn id="5" name="Benefits" dataDxfId="344" dataCellStyle="Currency"/>
    <tableColumn id="8" name="Total Expenditures" dataDxfId="343"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9-20 Compliance Standard" altTextSummary="Users can enter data in this table for any departing personnel for 2019-20. This table is for the compliance standard and is based on final expenditures."/>
    </ext>
  </extLst>
</table>
</file>

<file path=xl/tables/table236.xml><?xml version="1.0" encoding="utf-8"?>
<table xmlns="http://schemas.openxmlformats.org/spreadsheetml/2006/main" id="263" name="ExcAReplaceData1920Expenditures" displayName="ExcAReplaceData1920Expenditures" ref="H14:M20" totalsRowShown="0" headerRowDxfId="342" dataDxfId="340" headerRowBorderDxfId="341" tableBorderDxfId="339">
  <tableColumns count="6">
    <tableColumn id="1" name="Position Title" dataDxfId="338"/>
    <tableColumn id="2" name="Employee Name" dataDxfId="337"/>
    <tableColumn id="3" name="Column1" dataDxfId="336"/>
    <tableColumn id="4" name="Salary" dataDxfId="335" dataCellStyle="Currency"/>
    <tableColumn id="5" name="Benefits" dataDxfId="334" dataCellStyle="Currency"/>
    <tableColumn id="8" name="Total Expenditures" dataDxfId="333"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9-20 Compliance Standard" altTextSummary="Users can enter data in this table for any replacement personnel for 2019-20. This table is for the compliance standard and is based on final expenditures."/>
    </ext>
  </extLst>
</table>
</file>

<file path=xl/tables/table237.xml><?xml version="1.0" encoding="utf-8"?>
<table xmlns="http://schemas.openxmlformats.org/spreadsheetml/2006/main" id="264" name="ExcDData1920Expenditures" displayName="ExcDData1920Expenditures" ref="H50:I56" totalsRowShown="0" headerRowDxfId="332" dataDxfId="330" headerRowBorderDxfId="331" tableBorderDxfId="329">
  <tableColumns count="2">
    <tableColumn id="1" name="Description" dataDxfId="328"/>
    <tableColumn id="2" name="Cost in Final Year of Expenditure" dataDxfId="327"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9-20 Compliance Standard" altTextSummary="Users can enter data in this table for the termination of costly expenditures for long-term purchases for 2019-20. This table is for the compliance standard and is based on final expenditures."/>
    </ext>
  </extLst>
</table>
</file>

<file path=xl/tables/table238.xml><?xml version="1.0" encoding="utf-8"?>
<table xmlns="http://schemas.openxmlformats.org/spreadsheetml/2006/main" id="265" name="AdjData1920Expenditures" displayName="AdjData1920Expenditures" ref="H69:I70" totalsRowShown="0" headerRowDxfId="326" dataDxfId="324" headerRowBorderDxfId="325" tableBorderDxfId="323" totalsRowBorderDxfId="322">
  <tableColumns count="2">
    <tableColumn id="1" name="Column1" dataDxfId="321"/>
    <tableColumn id="2" name="Adjustment" dataDxfId="320">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9-20 Compliance Standard" altTextSummary="Users can enter data in this table for the Adjustment to MOE for 2019-20. This table is for the compliance standard and is based on final expenditures. Use IDC's MOE Reduction Decision Tree and Calculator to determine the adjustment amount."/>
    </ext>
  </extLst>
</table>
</file>

<file path=xl/tables/table239.xml><?xml version="1.0" encoding="utf-8"?>
<table xmlns="http://schemas.openxmlformats.org/spreadsheetml/2006/main" id="266" name="ExcCData1920Expenditures" displayName="ExcCData1920Expenditures" ref="H40:J46" totalsRowShown="0" headerRowDxfId="319" dataDxfId="318" tableBorderDxfId="317">
  <tableColumns count="3">
    <tableColumn id="1" name="Student Identifier" dataDxfId="316"/>
    <tableColumn id="2" name="Reason" dataDxfId="315"/>
    <tableColumn id="3" name="Expenditures" dataDxfId="314"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9-20 Compliance Standard" altTextSummary="Users can enter data in this table for the termination of the obligation to provide special education to a particular student that is an exceptionally costly program projected for 2019-20. This table is for the compliance standard and is based on final expenditures."/>
    </ext>
  </extLst>
</table>
</file>

<file path=xl/tables/table240.xml><?xml version="1.0" encoding="utf-8"?>
<table xmlns="http://schemas.openxmlformats.org/spreadsheetml/2006/main" id="267" name="ExcEData1920Expenditures" displayName="ExcEData1920Expenditures" ref="H60:I66" totalsRowShown="0" headerRowDxfId="313" tableBorderDxfId="312">
  <tableColumns count="2">
    <tableColumn id="1" name="Student Identifier" dataDxfId="311"/>
    <tableColumn id="2" name="Cost Assumed by SEA" dataDxfId="310"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9-20 Compliance Standard" altTextSummary="Users can enter data for the assumption of cost by the high cost fund operated by the SEA for for 2019-20. This table is for the compliance standard and uses final expenditures. The table will be blank and blacked out if the SEA does not have a high cost fund under §300.704."/>
    </ext>
  </extLst>
</table>
</file>

<file path=xl/tables/table241.xml><?xml version="1.0" encoding="utf-8"?>
<table xmlns="http://schemas.openxmlformats.org/spreadsheetml/2006/main" id="268" name="ExcBAutoEnrollmentData1920Expenditures" displayName="ExcBAutoEnrollmentData1920Expenditures" ref="H28:I32" totalsRowShown="0" headerRowDxfId="309" dataDxfId="308">
  <tableColumns count="2">
    <tableColumn id="1" name="Column1" dataDxfId="307"/>
    <tableColumn id="2" name="Column2" dataDxfId="306"/>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9-20 Compliance Standard" altTextSummary="This table automatically calculates the change in enrollment for 2019-20 to determine whether the LEA can apply exception (b). This table is for the compliance standard."/>
    </ext>
  </extLst>
</table>
</file>

<file path=xl/tables/table242.xml><?xml version="1.0" encoding="utf-8"?>
<table xmlns="http://schemas.openxmlformats.org/spreadsheetml/2006/main" id="269" name="ExcBAutoReductionData1920Expenditures" displayName="ExcBAutoReductionData1920Expenditures" ref="H33:J35" totalsRowShown="0" headerRowDxfId="305" dataDxfId="303" headerRowBorderDxfId="304" tableBorderDxfId="302" totalsRowBorderDxfId="301" headerRowCellStyle="Percent">
  <tableColumns count="3">
    <tableColumn id="1" name="Column1" dataDxfId="300"/>
    <tableColumn id="2" name="Local Total" dataDxfId="299"/>
    <tableColumn id="3" name="State and Local Total" dataDxfId="298"/>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9-20 Compliance Standard" altTextSummary="This table automatically calculates the reduction based on a decrease in enrollment for 2019-20. This table is for the compliance standard and uses final expenditures. The table will be blank and blacked out if there is no decrease in enrollment or if the user selected manual entry for exception (b)."/>
    </ext>
  </extLst>
</table>
</file>

<file path=xl/tables/table243.xml><?xml version="1.0" encoding="utf-8"?>
<table xmlns="http://schemas.openxmlformats.org/spreadsheetml/2006/main" id="270" name="ExcBManualData1920Expenditures" displayName="ExcBManualData1920Expenditures" ref="H24:L25" totalsRowShown="0" headerRowDxfId="297" dataDxfId="295" headerRowBorderDxfId="296" tableBorderDxfId="294" totalsRowBorderDxfId="293" headerRowCellStyle="Percent">
  <tableColumns count="5">
    <tableColumn id="1" name="Column1" dataDxfId="292">
      <calculatedColumnFormula>IF(I31="","Allowed Reduction",IF(I31&lt;0,"Allowed Reduction",IF(I31&gt;=0,"Not eligible for this exception","Allowed Reduction")))</calculatedColumnFormula>
    </tableColumn>
    <tableColumn id="2" name="Local Total" dataDxfId="291"/>
    <tableColumn id="3" name="State and Local Total" dataDxfId="290"/>
    <tableColumn id="4" name="Local Per Capita" dataDxfId="289"/>
    <tableColumn id="5" name="State and Local Per Capita" dataDxfId="288"/>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9-20 Compliance Standard" altTextSummary="If users prefer to use their own method to calculate the reduction for exception (b), they can use this table for any reduction in 2019-20.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244.xml><?xml version="1.0" encoding="utf-8"?>
<table xmlns="http://schemas.openxmlformats.org/spreadsheetml/2006/main" id="189" name="ExcADepartingData1112" displayName="ExcADepartingData1112" ref="A5:F11" totalsRowShown="0" headerRowDxfId="281" dataDxfId="279" headerRowBorderDxfId="280" tableBorderDxfId="278">
  <tableColumns count="6">
    <tableColumn id="1" name="Position Title" dataDxfId="277"/>
    <tableColumn id="2" name="Employee Name" dataDxfId="276"/>
    <tableColumn id="3" name="Reason for Leaving" dataDxfId="275"/>
    <tableColumn id="4" name="Salary" dataDxfId="274" dataCellStyle="Currency"/>
    <tableColumn id="5" name="Benefits" dataDxfId="273" dataCellStyle="Currency"/>
    <tableColumn id="8" name="Total Expenditures" dataDxfId="272"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1-12" altTextSummary="Users can enter data in this table for any departing personnel for 2011-12."/>
    </ext>
  </extLst>
</table>
</file>

<file path=xl/tables/table245.xml><?xml version="1.0" encoding="utf-8"?>
<table xmlns="http://schemas.openxmlformats.org/spreadsheetml/2006/main" id="190" name="ExcAReplaceData112" displayName="ExcAReplaceData112" ref="A13:F19" totalsRowShown="0" headerRowDxfId="271" dataDxfId="269" headerRowBorderDxfId="270" tableBorderDxfId="268">
  <tableColumns count="6">
    <tableColumn id="1" name="Position Title" dataDxfId="267"/>
    <tableColumn id="2" name="Employee Name" dataDxfId="266"/>
    <tableColumn id="3" name="Column1" dataDxfId="265"/>
    <tableColumn id="4" name="Salary" dataDxfId="264" dataCellStyle="Currency"/>
    <tableColumn id="5" name="Benefits" dataDxfId="263" dataCellStyle="Currency"/>
    <tableColumn id="8" name="Total Expenditures" dataDxfId="262"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1-12" altTextSummary="Users can enter data in this table for any replacement personnel for 2011-12."/>
    </ext>
  </extLst>
</table>
</file>

<file path=xl/tables/table246.xml><?xml version="1.0" encoding="utf-8"?>
<table xmlns="http://schemas.openxmlformats.org/spreadsheetml/2006/main" id="191" name="ExcDData1112" displayName="ExcDData1112" ref="A49:B55" totalsRowShown="0" headerRowDxfId="261" dataDxfId="259" headerRowBorderDxfId="260" tableBorderDxfId="258">
  <tableColumns count="2">
    <tableColumn id="1" name="Description" dataDxfId="257"/>
    <tableColumn id="2" name="Cost in Final Year of Expenditure" dataDxfId="256"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1-12" altTextSummary="Users can enter data in this table for the termination of costly expenditures for long-term purchases for 2011-12."/>
    </ext>
  </extLst>
</table>
</file>

<file path=xl/tables/table247.xml><?xml version="1.0" encoding="utf-8"?>
<table xmlns="http://schemas.openxmlformats.org/spreadsheetml/2006/main" id="192" name="AdjData1112" displayName="AdjData1112" ref="A68:B69" totalsRowShown="0" headerRowDxfId="255" dataDxfId="253" headerRowBorderDxfId="254" tableBorderDxfId="252" totalsRowBorderDxfId="251">
  <tableColumns count="2">
    <tableColumn id="1" name="Column1" dataDxfId="250"/>
    <tableColumn id="2" name="Adjustment" dataDxfId="249">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1-12" altTextSummary="Users can enter data in this table for the Adjustment to MOE for 2011-12. Use IDC's MOE Reduction Decision Tree and Calculator to determine the adjustment amount."/>
    </ext>
  </extLst>
</table>
</file>

<file path=xl/tables/table248.xml><?xml version="1.0" encoding="utf-8"?>
<table xmlns="http://schemas.openxmlformats.org/spreadsheetml/2006/main" id="193" name="ExcCData1112" displayName="ExcCData1112" ref="A39:C45" totalsRowShown="0" headerRowDxfId="248" dataDxfId="247" tableBorderDxfId="246">
  <tableColumns count="3">
    <tableColumn id="1" name="Student Identifier" dataDxfId="245"/>
    <tableColumn id="2" name="Reason" dataDxfId="244"/>
    <tableColumn id="3" name="Expenditures" dataDxfId="243"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1-12" altTextSummary="Users can enter data in this table for the termination of the obligation to provide special education to a particular student that is an exceptionally costly program projected for 2011-12. "/>
    </ext>
  </extLst>
</table>
</file>

<file path=xl/tables/table249.xml><?xml version="1.0" encoding="utf-8"?>
<table xmlns="http://schemas.openxmlformats.org/spreadsheetml/2006/main" id="194" name="ExcEData1112" displayName="ExcEData1112" ref="A59:B65" totalsRowShown="0" headerRowDxfId="242" dataDxfId="241" tableBorderDxfId="240">
  <tableColumns count="2">
    <tableColumn id="1" name="Student Identifier" dataDxfId="239"/>
    <tableColumn id="3" name="Cost Assumed by SEA" dataDxfId="23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1-12" altTextSummary="Users can enter data for the assumption of cost by the high cost fund operated by the SEA for for 2011-12. The table will be blank and blacked out if the SEA does not have a high cost fund under §300.704."/>
    </ext>
  </extLst>
</table>
</file>

<file path=xl/tables/table250.xml><?xml version="1.0" encoding="utf-8"?>
<table xmlns="http://schemas.openxmlformats.org/spreadsheetml/2006/main" id="195" name="ExcBAutoEnrollmentData1112" displayName="ExcBAutoEnrollmentData1112" ref="A27:B31" totalsRowShown="0" headerRowDxfId="237" dataDxfId="236">
  <tableColumns count="2">
    <tableColumn id="1" name="Column1" dataDxfId="235"/>
    <tableColumn id="2" name="Column2" dataDxfId="23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1-12" altTextSummary="This table automatically calculates the change in enrollment for 2011-12 to determine whether the LEA can apply exception (b). "/>
    </ext>
  </extLst>
</table>
</file>

<file path=xl/tables/table251.xml><?xml version="1.0" encoding="utf-8"?>
<table xmlns="http://schemas.openxmlformats.org/spreadsheetml/2006/main" id="196" name="ExcBAutoReductionData1112" displayName="ExcBAutoReductionData1112" ref="A32:C34" totalsRowShown="0" headerRowDxfId="233" dataDxfId="231" headerRowBorderDxfId="232" tableBorderDxfId="230" totalsRowBorderDxfId="229" headerRowCellStyle="Percent">
  <tableColumns count="3">
    <tableColumn id="1" name="Column1" dataDxfId="228"/>
    <tableColumn id="2" name="Local Total" dataDxfId="227"/>
    <tableColumn id="3" name="State and Local Total" dataDxfId="226"/>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1-12" altTextSummary="This table automatically calculates the reduction based on a decrease in enrollment for 2011-12. The table will be blank and blacked out if there is no decrease in enrollment or if the user selected manual entry for exception (b)."/>
    </ext>
  </extLst>
</table>
</file>

<file path=xl/tables/table252.xml><?xml version="1.0" encoding="utf-8"?>
<table xmlns="http://schemas.openxmlformats.org/spreadsheetml/2006/main" id="197" name="ExcBManualData1112" displayName="ExcBManualData1112" ref="A23:E24" totalsRowShown="0" headerRowDxfId="225" dataDxfId="223" headerRowBorderDxfId="224" tableBorderDxfId="222" totalsRowBorderDxfId="221" headerRowCellStyle="Percent">
  <tableColumns count="5">
    <tableColumn id="1" name="Column1" dataDxfId="220">
      <calculatedColumnFormula>IF(B30="","Allowed Reduction",IF(B30&lt;0,"Allowed Reduction",IF(B30&gt;=0,"Not eligible for this exception","Allowed Reduction")))</calculatedColumnFormula>
    </tableColumn>
    <tableColumn id="2" name="Local Total" dataDxfId="219"/>
    <tableColumn id="3" name="State and Local Total" dataDxfId="218"/>
    <tableColumn id="4" name="Local Per Capita" dataDxfId="217"/>
    <tableColumn id="5" name="State and Local Per Capita" dataDxfId="21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1-12" altTextSummary="If users prefer to use their own method to calculate the reduction for exception (b), they can use this table for any reduction in 2011-12. This table will be blank and blacked out if users selected auto-calculation of exception (b) on the Getting Started tab or if there is no decrease in enrollment."/>
    </ext>
  </extLst>
</table>
</file>

<file path=xl/tables/table253.xml><?xml version="1.0" encoding="utf-8"?>
<table xmlns="http://schemas.openxmlformats.org/spreadsheetml/2006/main" id="91" name="ExcADepartingData1213" displayName="ExcADepartingData1213" ref="A5:F11" totalsRowShown="0" headerRowDxfId="209" dataDxfId="207" headerRowBorderDxfId="208" tableBorderDxfId="206">
  <tableColumns count="6">
    <tableColumn id="1" name="Position Title" dataDxfId="205"/>
    <tableColumn id="2" name="Employee Name" dataDxfId="204"/>
    <tableColumn id="3" name="Reason for Leaving" dataDxfId="203"/>
    <tableColumn id="4" name="Salary" dataDxfId="202" dataCellStyle="Currency"/>
    <tableColumn id="5" name="Benefits" dataDxfId="201" dataCellStyle="Currency"/>
    <tableColumn id="8" name="Total Expenditures" dataDxfId="20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2-13" altTextSummary="Users can enter data in this table for any departing personnel for 2012-13."/>
    </ext>
  </extLst>
</table>
</file>

<file path=xl/tables/table254.xml><?xml version="1.0" encoding="utf-8"?>
<table xmlns="http://schemas.openxmlformats.org/spreadsheetml/2006/main" id="92" name="ExcAReplaceData1213" displayName="ExcAReplaceData1213" ref="A13:F19" totalsRowShown="0" headerRowDxfId="199" dataDxfId="197" headerRowBorderDxfId="198" tableBorderDxfId="196">
  <tableColumns count="6">
    <tableColumn id="1" name="Position Title" dataDxfId="195"/>
    <tableColumn id="2" name="Employee Name" dataDxfId="194"/>
    <tableColumn id="3" name="Column1" dataDxfId="193"/>
    <tableColumn id="4" name="Salary" dataDxfId="192" dataCellStyle="Currency"/>
    <tableColumn id="5" name="Benefits" dataDxfId="191" dataCellStyle="Currency"/>
    <tableColumn id="8" name="Total Expenditures" dataDxfId="19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2-13" altTextSummary="Users can enter data in this table for any replacement personnel for 2012-13."/>
    </ext>
  </extLst>
</table>
</file>

<file path=xl/tables/table255.xml><?xml version="1.0" encoding="utf-8"?>
<table xmlns="http://schemas.openxmlformats.org/spreadsheetml/2006/main" id="95" name="ExcDData1213" displayName="ExcDData1213" ref="A49:B55" totalsRowShown="0" headerRowDxfId="189" dataDxfId="187" headerRowBorderDxfId="188" tableBorderDxfId="186">
  <tableColumns count="2">
    <tableColumn id="1" name="Description" dataDxfId="185"/>
    <tableColumn id="2" name="Cost in Final Year of Expenditure" dataDxfId="18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2-13" altTextSummary="Users can enter data in this table for the termination of costly expenditures for long-term purchases for 2012-13."/>
    </ext>
  </extLst>
</table>
</file>

<file path=xl/tables/table256.xml><?xml version="1.0" encoding="utf-8"?>
<table xmlns="http://schemas.openxmlformats.org/spreadsheetml/2006/main" id="96" name="AdjData1213" displayName="AdjData1213" ref="A68:B69" totalsRowShown="0" headerRowDxfId="183" dataDxfId="181" headerRowBorderDxfId="182" tableBorderDxfId="180" totalsRowBorderDxfId="179">
  <tableColumns count="2">
    <tableColumn id="1" name="Column1" dataDxfId="178"/>
    <tableColumn id="2" name="Adjustment" dataDxfId="177">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2-13" altTextSummary="Users can enter data in this table for the Adjustment to MOE for 2012-13. Use IDC's MOE Reduction Decision Tree and Calculator to determine the adjustment amount."/>
    </ext>
  </extLst>
</table>
</file>

<file path=xl/tables/table257.xml><?xml version="1.0" encoding="utf-8"?>
<table xmlns="http://schemas.openxmlformats.org/spreadsheetml/2006/main" id="97" name="ExcCData1213" displayName="ExcCData1213" ref="A39:C45" totalsRowShown="0" headerRowDxfId="176" dataDxfId="175" tableBorderDxfId="174">
  <tableColumns count="3">
    <tableColumn id="1" name="Student Identifier" dataDxfId="173"/>
    <tableColumn id="2" name="Reason" dataDxfId="172"/>
    <tableColumn id="3" name="Expenditures" dataDxfId="17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2-13" altTextSummary="Users can enter data in this table for the termination of the obligation to provide special education to a particular student that is an exceptionally costly program projected for 2012-13. "/>
    </ext>
  </extLst>
</table>
</file>

<file path=xl/tables/table258.xml><?xml version="1.0" encoding="utf-8"?>
<table xmlns="http://schemas.openxmlformats.org/spreadsheetml/2006/main" id="98" name="ExcEData1213" displayName="ExcEData1213" ref="A59:B65" totalsRowShown="0" headerRowDxfId="170" dataDxfId="169" tableBorderDxfId="168">
  <tableColumns count="2">
    <tableColumn id="1" name="Student Identifier" dataDxfId="167"/>
    <tableColumn id="3" name="Cost Assumed by SEA" dataDxfId="16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2-13" altTextSummary="Users can enter data for the assumption of cost by the high cost fund operated by the SEA for for 2012-13. The table will be blank and blacked out if the SEA does not have a high cost fund under §300.704."/>
    </ext>
  </extLst>
</table>
</file>

<file path=xl/tables/table259.xml><?xml version="1.0" encoding="utf-8"?>
<table xmlns="http://schemas.openxmlformats.org/spreadsheetml/2006/main" id="38" name="ExcBAutoEnrollmentData1213" displayName="ExcBAutoEnrollmentData1213" ref="A27:B31" totalsRowShown="0" headerRowDxfId="165" dataDxfId="164">
  <tableColumns count="2">
    <tableColumn id="1" name="Column1" dataDxfId="163"/>
    <tableColumn id="2" name="Column2" dataDxfId="16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2-13" altTextSummary="This table automatically calculates the change in enrollment for 2012-13 to determine whether the LEA can apply exception (b). "/>
    </ext>
  </extLst>
</table>
</file>

<file path=xl/tables/table260.xml><?xml version="1.0" encoding="utf-8"?>
<table xmlns="http://schemas.openxmlformats.org/spreadsheetml/2006/main" id="39" name="ExcBAutoReductionData1213" displayName="ExcBAutoReductionData1213" ref="A32:C34" totalsRowShown="0" headerRowDxfId="161" dataDxfId="159" headerRowBorderDxfId="160" tableBorderDxfId="158" totalsRowBorderDxfId="157" headerRowCellStyle="Percent">
  <tableColumns count="3">
    <tableColumn id="1" name="Column1" dataDxfId="156"/>
    <tableColumn id="2" name="Local Total" dataDxfId="155"/>
    <tableColumn id="3" name="State and Local Total" dataDxfId="154"/>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2-13" altTextSummary="This table automatically calculates the reduction based on a decrease in enrollment for 2012-13. The table will be blank and blacked out if there is no decrease in enrollment or if the user selected manual entry for exception (b)."/>
    </ext>
  </extLst>
</table>
</file>

<file path=xl/tables/table261.xml><?xml version="1.0" encoding="utf-8"?>
<table xmlns="http://schemas.openxmlformats.org/spreadsheetml/2006/main" id="40" name="ExcBManualData1213" displayName="ExcBManualData1213" ref="A23:E24" totalsRowShown="0" headerRowDxfId="153" dataDxfId="151" headerRowBorderDxfId="152" tableBorderDxfId="150" totalsRowBorderDxfId="149" headerRowCellStyle="Percent">
  <tableColumns count="5">
    <tableColumn id="1" name="Column1" dataDxfId="148">
      <calculatedColumnFormula>IF(B30="","Allowed Reduction",IF(B30&lt;0,"Allowed Reduction",IF(B30&gt;=0,"Not eligible for this exception","Allowed Reduction")))</calculatedColumnFormula>
    </tableColumn>
    <tableColumn id="2" name="Local Total" dataDxfId="147"/>
    <tableColumn id="3" name="State and Local Total" dataDxfId="146"/>
    <tableColumn id="4" name="Local Per Capita" dataDxfId="145"/>
    <tableColumn id="5" name="State and Local Per Capita" dataDxfId="14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2-13" altTextSummary="If users prefer to use their own method to calculate the reduction for exception (b), they can use this table for any reduction in 2012-13. This table will be blank and blacked out if users selected auto-calculation of exception (b) on the Getting Started tab or if there is no decrease in enrollment."/>
    </ext>
  </extLst>
</table>
</file>

<file path=xl/tables/table262.xml><?xml version="1.0" encoding="utf-8"?>
<table xmlns="http://schemas.openxmlformats.org/spreadsheetml/2006/main" id="82" name="ExcADepartingData1314" displayName="ExcADepartingData1314" ref="A5:F11" totalsRowShown="0" headerRowDxfId="137" dataDxfId="135" headerRowBorderDxfId="136" tableBorderDxfId="134">
  <tableColumns count="6">
    <tableColumn id="1" name="Position Title" dataDxfId="133"/>
    <tableColumn id="2" name="Employee Name" dataDxfId="132"/>
    <tableColumn id="3" name="Reason for Leaving" dataDxfId="131"/>
    <tableColumn id="4" name="Salary" dataDxfId="130" dataCellStyle="Currency"/>
    <tableColumn id="5" name="Benefits" dataDxfId="129" dataCellStyle="Currency"/>
    <tableColumn id="8" name="Total Expenditures" dataDxfId="12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3-14" altTextSummary="Users can enter data in this table for any departing personnel for 2013-14."/>
    </ext>
  </extLst>
</table>
</file>

<file path=xl/tables/table263.xml><?xml version="1.0" encoding="utf-8"?>
<table xmlns="http://schemas.openxmlformats.org/spreadsheetml/2006/main" id="83" name="ExcAReplaceData1314" displayName="ExcAReplaceData1314" ref="A13:F19" totalsRowShown="0" headerRowDxfId="127" dataDxfId="125" headerRowBorderDxfId="126" tableBorderDxfId="124">
  <tableColumns count="6">
    <tableColumn id="1" name="Position Title" dataDxfId="123"/>
    <tableColumn id="2" name="Employee Name" dataDxfId="122"/>
    <tableColumn id="3" name="Column1" dataDxfId="121"/>
    <tableColumn id="4" name="Salary" dataDxfId="120" dataCellStyle="Currency"/>
    <tableColumn id="5" name="Benefits" dataDxfId="119" dataCellStyle="Currency"/>
    <tableColumn id="8" name="Total Expenditures" dataDxfId="11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3-14" altTextSummary="Users can enter data in this table for any replacement personnel for 2013-14."/>
    </ext>
  </extLst>
</table>
</file>

<file path=xl/tables/table264.xml><?xml version="1.0" encoding="utf-8"?>
<table xmlns="http://schemas.openxmlformats.org/spreadsheetml/2006/main" id="86" name="ExcDData1314" displayName="ExcDData1314" ref="A49:B55" totalsRowShown="0" headerRowDxfId="117" dataDxfId="115" headerRowBorderDxfId="116" tableBorderDxfId="114">
  <tableColumns count="2">
    <tableColumn id="1" name="Description" dataDxfId="113"/>
    <tableColumn id="2" name="Cost in Final Year of Expenditure" dataDxfId="11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3-14" altTextSummary="Users can enter data in this table for the termination of costly expenditures for long-term purchases for 2013-14."/>
    </ext>
  </extLst>
</table>
</file>

<file path=xl/tables/table265.xml><?xml version="1.0" encoding="utf-8"?>
<table xmlns="http://schemas.openxmlformats.org/spreadsheetml/2006/main" id="87" name="AdjData1314" displayName="AdjData1314" ref="A68:B69" totalsRowShown="0" headerRowDxfId="111" dataDxfId="109" headerRowBorderDxfId="110" tableBorderDxfId="108" totalsRowBorderDxfId="107">
  <tableColumns count="2">
    <tableColumn id="1" name="Column1" dataDxfId="106"/>
    <tableColumn id="2" name="Adjustment" dataDxfId="105">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3-14" altTextSummary="Users can enter data in this table for the Adjustment to MOE for 2013-14. Use IDC's MOE Reduction Decision Tree and Calculator to determine the adjustment amount."/>
    </ext>
  </extLst>
</table>
</file>

<file path=xl/tables/table266.xml><?xml version="1.0" encoding="utf-8"?>
<table xmlns="http://schemas.openxmlformats.org/spreadsheetml/2006/main" id="88" name="ExcCData1314" displayName="ExcCData1314" ref="A39:C45" totalsRowShown="0" headerRowDxfId="104" dataDxfId="103" tableBorderDxfId="102">
  <tableColumns count="3">
    <tableColumn id="1" name="Student Identifier" dataDxfId="101"/>
    <tableColumn id="2" name="Reason" dataDxfId="100"/>
    <tableColumn id="3" name="Expenditure" dataDxfId="99"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3-14" altTextSummary="Users can enter data in this table for the termination of the obligation to provide special education to a particular student that is an exceptionally costly program projected for 2013-14. "/>
    </ext>
  </extLst>
</table>
</file>

<file path=xl/tables/table267.xml><?xml version="1.0" encoding="utf-8"?>
<table xmlns="http://schemas.openxmlformats.org/spreadsheetml/2006/main" id="89" name="ExcEData1314" displayName="ExcEData1314" ref="A59:B65" totalsRowShown="0" headerRowDxfId="98" dataDxfId="97" tableBorderDxfId="96">
  <tableColumns count="2">
    <tableColumn id="1" name="Student Identifier" dataDxfId="95"/>
    <tableColumn id="3" name="Cost Assumed by SEA" dataDxfId="94"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3-14" altTextSummary="Users can enter data for the assumption of cost by the high cost fund operated by the SEA for for 2013-14. The table will be blank and blacked out if the SEA does not have a high cost fund under §300.704."/>
    </ext>
  </extLst>
</table>
</file>

<file path=xl/tables/table268.xml><?xml version="1.0" encoding="utf-8"?>
<table xmlns="http://schemas.openxmlformats.org/spreadsheetml/2006/main" id="35" name="ExcBAutoEnrollmentData1314" displayName="ExcBAutoEnrollmentData1314" ref="A27:B31" totalsRowShown="0" headerRowDxfId="93" dataDxfId="92">
  <tableColumns count="2">
    <tableColumn id="1" name="Column1" dataDxfId="91"/>
    <tableColumn id="2" name="Column2" dataDxfId="90"/>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3-14" altTextSummary="This table automatically calculates the change in enrollment for 2013-14 to determine whether the LEA can apply exception (b). "/>
    </ext>
  </extLst>
</table>
</file>

<file path=xl/tables/table269.xml><?xml version="1.0" encoding="utf-8"?>
<table xmlns="http://schemas.openxmlformats.org/spreadsheetml/2006/main" id="36" name="ExcBAutoReductionData1314" displayName="ExcBAutoReductionData1314" ref="A32:C34" totalsRowShown="0" headerRowDxfId="89" dataDxfId="87" headerRowBorderDxfId="88" tableBorderDxfId="86" totalsRowBorderDxfId="85" headerRowCellStyle="Percent">
  <tableColumns count="3">
    <tableColumn id="1" name="Column1" dataDxfId="84"/>
    <tableColumn id="2" name="Local Total" dataDxfId="83"/>
    <tableColumn id="3" name="State and Local Total" dataDxfId="82"/>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3-14" altTextSummary="This table automatically calculates the reduction based on a decrease in enrollment for 2013-14. The table will be blank and blacked out if there is no decrease in enrollment or if the user selected manual entry for exception (b)."/>
    </ext>
  </extLst>
</table>
</file>

<file path=xl/tables/table270.xml><?xml version="1.0" encoding="utf-8"?>
<table xmlns="http://schemas.openxmlformats.org/spreadsheetml/2006/main" id="37" name="ExcBManualData1314" displayName="ExcBManualData1314" ref="A23:E24" totalsRowShown="0" headerRowDxfId="81" dataDxfId="79" headerRowBorderDxfId="80" tableBorderDxfId="78" totalsRowBorderDxfId="77" headerRowCellStyle="Percent">
  <tableColumns count="5">
    <tableColumn id="1" name="Column1" dataDxfId="76">
      <calculatedColumnFormula>IF(B30="","Allowed Reduction",IF(B30&lt;0,"Allowed Reduction",IF(B30&gt;=0,"Not eligible for this exception","Allowed Reduction")))</calculatedColumnFormula>
    </tableColumn>
    <tableColumn id="2" name="Local Total" dataDxfId="75"/>
    <tableColumn id="3" name="State and Local Total" dataDxfId="74"/>
    <tableColumn id="4" name="Local Per Capita" dataDxfId="73"/>
    <tableColumn id="5" name="State and Local Per Capita" dataDxfId="72"/>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3-14" altTextSummary="If users prefer to use their own method to calculate the reduction for exception (b), they can use this table for any reduction in 2013-14. This table will be blank and blacked out if users selected auto-calculation of exception (b) on the Getting Started tab or if there is no decrease in enrollment."/>
    </ext>
  </extLst>
</table>
</file>

<file path=xl/tables/table271.xml><?xml version="1.0" encoding="utf-8"?>
<table xmlns="http://schemas.openxmlformats.org/spreadsheetml/2006/main" id="64" name="ExcADepartingData1415" displayName="ExcADepartingData1415" ref="A5:F11" totalsRowShown="0" headerRowDxfId="65" dataDxfId="63" headerRowBorderDxfId="64" tableBorderDxfId="62">
  <tableColumns count="6">
    <tableColumn id="1" name="Position Title" dataDxfId="61"/>
    <tableColumn id="2" name="Employee Name" dataDxfId="60"/>
    <tableColumn id="3" name="Reason for Leaving" dataDxfId="59"/>
    <tableColumn id="4" name="Salary" dataDxfId="58" dataCellStyle="Currency"/>
    <tableColumn id="5" name="Benefits" dataDxfId="57" dataCellStyle="Currency"/>
    <tableColumn id="8" name="Total Expenditures" dataDxfId="56" dataCellStyle="Currency"/>
  </tableColumns>
  <tableStyleInfo name="TableStyleMedium9" showFirstColumn="0" showLastColumn="0" showRowStripes="0" showColumnStripes="0"/>
  <extLst>
    <ext xmlns:x14="http://schemas.microsoft.com/office/spreadsheetml/2009/9/main" uri="{504A1905-F514-4f6f-8877-14C23A59335A}">
      <x14:table altText="Exception (a) Data Entry for Departing Personnel for 2014-15" altTextSummary="Users can enter data in this table for any departing personnel for 2014-15."/>
    </ext>
  </extLst>
</table>
</file>

<file path=xl/tables/table272.xml><?xml version="1.0" encoding="utf-8"?>
<table xmlns="http://schemas.openxmlformats.org/spreadsheetml/2006/main" id="65" name="ExcAReplaceData1415" displayName="ExcAReplaceData1415" ref="A13:F19" totalsRowShown="0" headerRowDxfId="55" dataDxfId="53" headerRowBorderDxfId="54" tableBorderDxfId="52">
  <tableColumns count="6">
    <tableColumn id="1" name="Position Title" dataDxfId="51"/>
    <tableColumn id="2" name="Employee Name" dataDxfId="50"/>
    <tableColumn id="3" name="Column1" dataDxfId="49"/>
    <tableColumn id="4" name="Salary" dataDxfId="48" dataCellStyle="Currency"/>
    <tableColumn id="5" name="Benefits" dataDxfId="47" dataCellStyle="Currency"/>
    <tableColumn id="8" name="Total Expenditures" dataDxfId="4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4-15" altTextSummary="Users can enter data in this table for any replacement personnel for 2014-15."/>
    </ext>
  </extLst>
</table>
</file>

<file path=xl/tables/table273.xml><?xml version="1.0" encoding="utf-8"?>
<table xmlns="http://schemas.openxmlformats.org/spreadsheetml/2006/main" id="68" name="ExcDData1415" displayName="ExcDData1415" ref="A49:B55" totalsRowShown="0" headerRowDxfId="45" dataDxfId="43" headerRowBorderDxfId="44" tableBorderDxfId="42">
  <tableColumns count="2">
    <tableColumn id="1" name="Description" dataDxfId="41"/>
    <tableColumn id="2" name="Cost in Final Year of Expenditure" dataDxfId="4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4-15" altTextSummary="Users can enter data in this table for the termination of costly expenditures for long-term purchases for 2014-15."/>
    </ext>
  </extLst>
</table>
</file>

<file path=xl/tables/table274.xml><?xml version="1.0" encoding="utf-8"?>
<table xmlns="http://schemas.openxmlformats.org/spreadsheetml/2006/main" id="69" name="AdjData1415" displayName="AdjData1415" ref="A68:B69" totalsRowShown="0" headerRowDxfId="39" dataDxfId="37" headerRowBorderDxfId="38" tableBorderDxfId="36" totalsRowBorderDxfId="35">
  <tableColumns count="2">
    <tableColumn id="1" name="Column1" dataDxfId="34"/>
    <tableColumn id="2" name="Adjustment" dataDxfId="33">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4-15" altTextSummary="Users can enter data in this table for the Adjustment to MOE for 2014-15. Use IDC's MOE Reduction Decision Tree and Calculator to determine the adjustment amount."/>
    </ext>
  </extLst>
</table>
</file>

<file path=xl/tables/table275.xml><?xml version="1.0" encoding="utf-8"?>
<table xmlns="http://schemas.openxmlformats.org/spreadsheetml/2006/main" id="70" name="ExcCData1415" displayName="ExcCData1415" ref="A39:C45" totalsRowShown="0" headerRowDxfId="32" dataDxfId="31" tableBorderDxfId="30">
  <tableColumns count="3">
    <tableColumn id="1" name="Student Identifier" dataDxfId="29"/>
    <tableColumn id="2" name="Reason" dataDxfId="28"/>
    <tableColumn id="3" name="Expenditures" dataDxfId="2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4-15" altTextSummary="Users can enter data in this table for the termination of the obligation to provide special education to a particular student that is an exceptionally costly program projected for 2014-15. "/>
    </ext>
  </extLst>
</table>
</file>

<file path=xl/tables/table276.xml><?xml version="1.0" encoding="utf-8"?>
<table xmlns="http://schemas.openxmlformats.org/spreadsheetml/2006/main" id="71" name="ExcEData1415" displayName="ExcEData1415" ref="A59:B65" totalsRowShown="0" headerRowDxfId="26" dataDxfId="25" tableBorderDxfId="24">
  <tableColumns count="2">
    <tableColumn id="1" name="Student Identifier" dataDxfId="23"/>
    <tableColumn id="3" name=" Cost Assumed by SEA" dataDxfId="2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4-15" altTextSummary="Users can enter data for the assumption of cost by the high cost fund operated by the SEA for for 2014-15. The table will be blank and blacked out if the SEA does not have a high cost fund under §300.704."/>
    </ext>
  </extLst>
</table>
</file>

<file path=xl/tables/table277.xml><?xml version="1.0" encoding="utf-8"?>
<table xmlns="http://schemas.openxmlformats.org/spreadsheetml/2006/main" id="32" name="ExcBAutoEnrollmentData1415" displayName="ExcBAutoEnrollmentData1415" ref="A27:B31" totalsRowShown="0" headerRowDxfId="21" dataDxfId="20">
  <tableColumns count="2">
    <tableColumn id="1" name="Column1" dataDxfId="19"/>
    <tableColumn id="2" name="Column2" dataDxfId="1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4-15" altTextSummary="This table automatically calculates the change in enrollment for 2014-15 to determine whether the LEA can apply exception (b). "/>
    </ext>
  </extLst>
</table>
</file>

<file path=xl/tables/table278.xml><?xml version="1.0" encoding="utf-8"?>
<table xmlns="http://schemas.openxmlformats.org/spreadsheetml/2006/main" id="33" name="ExcBAutoReductionData1415" displayName="ExcBAutoReductionData1415" ref="A32:C34" totalsRowShown="0" headerRowDxfId="17" dataDxfId="15" headerRowBorderDxfId="16" tableBorderDxfId="14" totalsRowBorderDxfId="13" headerRowCellStyle="Percent">
  <tableColumns count="3">
    <tableColumn id="1" name="Column1" dataDxfId="12"/>
    <tableColumn id="2" name="Local Total" dataDxfId="11"/>
    <tableColumn id="3" name="State and Local Total" dataDxfId="1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4-15" altTextSummary="This table automatically calculates the reduction based on a decrease in enrollment for 2014-15. The table will be blank and blacked out if there is no decrease in enrollment or if the user selected manual entry for exception (b)."/>
    </ext>
  </extLst>
</table>
</file>

<file path=xl/tables/table279.xml><?xml version="1.0" encoding="utf-8"?>
<table xmlns="http://schemas.openxmlformats.org/spreadsheetml/2006/main" id="34" name="ExcBManualData1415" displayName="ExcBManualData1415" ref="A23:E24" totalsRowShown="0" headerRowDxfId="9" dataDxfId="7" headerRowBorderDxfId="8" tableBorderDxfId="6" totalsRowBorderDxfId="5" headerRowCellStyle="Percent">
  <tableColumns count="5">
    <tableColumn id="1" name="Column1" dataDxfId="4">
      <calculatedColumnFormula>IF(B30="","Allowed Reduction",IF(B30&lt;0,"Allowed Reduction",IF(B30&gt;=0,"Not eligible for this exception","Allowed Reduction")))</calculatedColumnFormula>
    </tableColumn>
    <tableColumn id="2" name="Local Total" dataDxfId="3"/>
    <tableColumn id="3" name="State and Local Total" dataDxfId="2"/>
    <tableColumn id="4" name="Local Per Capita" dataDxfId="1"/>
    <tableColumn id="5" name="State and Local Per Capita" dataDxfId="0"/>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4-15" altTextSummary="If users prefer to use their own method to calculate the reduction for exception (b), they can use this table for any reduction in 2014-15. This table will be blank and blacked out if users selected auto-calculation of exception (b) on the Getting Started tab or if there is no decrease in enroll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cifr.wested.org/resources/lea-moe/calculator/"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cifr.wested.org/resources/lea-moe/calculator/"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cifr.wested.org/resources/lea-moe/calculator/" TargetMode="Externa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 Type="http://schemas.openxmlformats.org/officeDocument/2006/relationships/table" Target="../tables/table6.xml"/><Relationship Id="rId21" Type="http://schemas.openxmlformats.org/officeDocument/2006/relationships/table" Target="../tables/table24.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2" Type="http://schemas.openxmlformats.org/officeDocument/2006/relationships/printerSettings" Target="../printerSettings/printerSettings5.bin"/><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1" Type="http://schemas.openxmlformats.org/officeDocument/2006/relationships/hyperlink" Target="http://cifr.wested.org/resources/lea-moe/calculator/" TargetMode="External"/><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13" Type="http://schemas.openxmlformats.org/officeDocument/2006/relationships/table" Target="../tables/table42.xml"/><Relationship Id="rId18" Type="http://schemas.openxmlformats.org/officeDocument/2006/relationships/table" Target="../tables/table47.xml"/><Relationship Id="rId3" Type="http://schemas.openxmlformats.org/officeDocument/2006/relationships/hyperlink" Target="http://cifr.wested.org/resources/lea-moe/calculator/" TargetMode="External"/><Relationship Id="rId21" Type="http://schemas.openxmlformats.org/officeDocument/2006/relationships/table" Target="../tables/table50.xml"/><Relationship Id="rId7" Type="http://schemas.openxmlformats.org/officeDocument/2006/relationships/table" Target="../tables/table36.xml"/><Relationship Id="rId12" Type="http://schemas.openxmlformats.org/officeDocument/2006/relationships/table" Target="../tables/table41.xml"/><Relationship Id="rId17" Type="http://schemas.openxmlformats.org/officeDocument/2006/relationships/table" Target="../tables/table46.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45.xml"/><Relationship Id="rId20" Type="http://schemas.openxmlformats.org/officeDocument/2006/relationships/table" Target="../tables/table49.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5" Type="http://schemas.openxmlformats.org/officeDocument/2006/relationships/table" Target="../tables/table44.xml"/><Relationship Id="rId10" Type="http://schemas.openxmlformats.org/officeDocument/2006/relationships/table" Target="../tables/table39.xml"/><Relationship Id="rId19" Type="http://schemas.openxmlformats.org/officeDocument/2006/relationships/table" Target="../tables/table48.xml"/><Relationship Id="rId4" Type="http://schemas.openxmlformats.org/officeDocument/2006/relationships/printerSettings" Target="../printerSettings/printerSettings6.bin"/><Relationship Id="rId9" Type="http://schemas.openxmlformats.org/officeDocument/2006/relationships/table" Target="../tables/table38.xml"/><Relationship Id="rId14" Type="http://schemas.openxmlformats.org/officeDocument/2006/relationships/table" Target="../tables/table43.xml"/><Relationship Id="rId22" Type="http://schemas.openxmlformats.org/officeDocument/2006/relationships/table" Target="../tables/table5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printerSettings" Target="../printerSettings/printerSettings7.bin"/><Relationship Id="rId1" Type="http://schemas.openxmlformats.org/officeDocument/2006/relationships/hyperlink" Target="http://cifr.wested.org/resources/lea-moe/calculator/" TargetMode="External"/><Relationship Id="rId4" Type="http://schemas.openxmlformats.org/officeDocument/2006/relationships/table" Target="../tables/table5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9.xml"/><Relationship Id="rId13" Type="http://schemas.openxmlformats.org/officeDocument/2006/relationships/table" Target="../tables/table64.xml"/><Relationship Id="rId18" Type="http://schemas.openxmlformats.org/officeDocument/2006/relationships/table" Target="../tables/table69.xml"/><Relationship Id="rId26" Type="http://schemas.openxmlformats.org/officeDocument/2006/relationships/table" Target="../tables/table77.xml"/><Relationship Id="rId3" Type="http://schemas.openxmlformats.org/officeDocument/2006/relationships/table" Target="../tables/table54.xml"/><Relationship Id="rId21" Type="http://schemas.openxmlformats.org/officeDocument/2006/relationships/table" Target="../tables/table72.xml"/><Relationship Id="rId7" Type="http://schemas.openxmlformats.org/officeDocument/2006/relationships/table" Target="../tables/table58.xml"/><Relationship Id="rId12" Type="http://schemas.openxmlformats.org/officeDocument/2006/relationships/table" Target="../tables/table63.xml"/><Relationship Id="rId17" Type="http://schemas.openxmlformats.org/officeDocument/2006/relationships/table" Target="../tables/table68.xml"/><Relationship Id="rId25" Type="http://schemas.openxmlformats.org/officeDocument/2006/relationships/table" Target="../tables/table76.xml"/><Relationship Id="rId2" Type="http://schemas.openxmlformats.org/officeDocument/2006/relationships/printerSettings" Target="../printerSettings/printerSettings8.bin"/><Relationship Id="rId16" Type="http://schemas.openxmlformats.org/officeDocument/2006/relationships/table" Target="../tables/table67.xml"/><Relationship Id="rId20" Type="http://schemas.openxmlformats.org/officeDocument/2006/relationships/table" Target="../tables/table71.xml"/><Relationship Id="rId29" Type="http://schemas.openxmlformats.org/officeDocument/2006/relationships/table" Target="../tables/table80.xml"/><Relationship Id="rId1" Type="http://schemas.openxmlformats.org/officeDocument/2006/relationships/hyperlink" Target="http://cifr.wested.org/resources/lea-moe/calculator/" TargetMode="External"/><Relationship Id="rId6" Type="http://schemas.openxmlformats.org/officeDocument/2006/relationships/table" Target="../tables/table57.xml"/><Relationship Id="rId11" Type="http://schemas.openxmlformats.org/officeDocument/2006/relationships/table" Target="../tables/table62.xml"/><Relationship Id="rId24" Type="http://schemas.openxmlformats.org/officeDocument/2006/relationships/table" Target="../tables/table75.xml"/><Relationship Id="rId5" Type="http://schemas.openxmlformats.org/officeDocument/2006/relationships/table" Target="../tables/table56.xml"/><Relationship Id="rId15" Type="http://schemas.openxmlformats.org/officeDocument/2006/relationships/table" Target="../tables/table66.xml"/><Relationship Id="rId23" Type="http://schemas.openxmlformats.org/officeDocument/2006/relationships/table" Target="../tables/table74.xml"/><Relationship Id="rId28" Type="http://schemas.openxmlformats.org/officeDocument/2006/relationships/table" Target="../tables/table79.xml"/><Relationship Id="rId10" Type="http://schemas.openxmlformats.org/officeDocument/2006/relationships/table" Target="../tables/table61.xml"/><Relationship Id="rId19" Type="http://schemas.openxmlformats.org/officeDocument/2006/relationships/table" Target="../tables/table70.xml"/><Relationship Id="rId4" Type="http://schemas.openxmlformats.org/officeDocument/2006/relationships/table" Target="../tables/table55.xml"/><Relationship Id="rId9" Type="http://schemas.openxmlformats.org/officeDocument/2006/relationships/table" Target="../tables/table60.xml"/><Relationship Id="rId14" Type="http://schemas.openxmlformats.org/officeDocument/2006/relationships/table" Target="../tables/table65.xml"/><Relationship Id="rId22" Type="http://schemas.openxmlformats.org/officeDocument/2006/relationships/table" Target="../tables/table73.xml"/><Relationship Id="rId27" Type="http://schemas.openxmlformats.org/officeDocument/2006/relationships/table" Target="../tables/table78.xml"/><Relationship Id="rId30" Type="http://schemas.openxmlformats.org/officeDocument/2006/relationships/table" Target="../tables/table8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5.xml"/><Relationship Id="rId13" Type="http://schemas.openxmlformats.org/officeDocument/2006/relationships/table" Target="../tables/table90.xml"/><Relationship Id="rId18" Type="http://schemas.openxmlformats.org/officeDocument/2006/relationships/table" Target="../tables/table95.xml"/><Relationship Id="rId3" Type="http://schemas.openxmlformats.org/officeDocument/2006/relationships/hyperlink" Target="http://cifr.wested.org/resources/lea-moe/calculator/" TargetMode="External"/><Relationship Id="rId21" Type="http://schemas.openxmlformats.org/officeDocument/2006/relationships/table" Target="../tables/table98.xml"/><Relationship Id="rId7" Type="http://schemas.openxmlformats.org/officeDocument/2006/relationships/table" Target="../tables/table84.xml"/><Relationship Id="rId12" Type="http://schemas.openxmlformats.org/officeDocument/2006/relationships/table" Target="../tables/table89.xml"/><Relationship Id="rId17" Type="http://schemas.openxmlformats.org/officeDocument/2006/relationships/table" Target="../tables/table94.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93.xml"/><Relationship Id="rId20" Type="http://schemas.openxmlformats.org/officeDocument/2006/relationships/table" Target="../tables/table97.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83.xml"/><Relationship Id="rId11" Type="http://schemas.openxmlformats.org/officeDocument/2006/relationships/table" Target="../tables/table88.xml"/><Relationship Id="rId5" Type="http://schemas.openxmlformats.org/officeDocument/2006/relationships/table" Target="../tables/table82.xml"/><Relationship Id="rId15" Type="http://schemas.openxmlformats.org/officeDocument/2006/relationships/table" Target="../tables/table92.xml"/><Relationship Id="rId10" Type="http://schemas.openxmlformats.org/officeDocument/2006/relationships/table" Target="../tables/table87.xml"/><Relationship Id="rId19" Type="http://schemas.openxmlformats.org/officeDocument/2006/relationships/table" Target="../tables/table96.xml"/><Relationship Id="rId4" Type="http://schemas.openxmlformats.org/officeDocument/2006/relationships/printerSettings" Target="../printerSettings/printerSettings9.bin"/><Relationship Id="rId9" Type="http://schemas.openxmlformats.org/officeDocument/2006/relationships/table" Target="../tables/table86.xml"/><Relationship Id="rId14" Type="http://schemas.openxmlformats.org/officeDocument/2006/relationships/table" Target="../tables/table91.xml"/><Relationship Id="rId22" Type="http://schemas.openxmlformats.org/officeDocument/2006/relationships/table" Target="../tables/table9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0.xml"/><Relationship Id="rId2" Type="http://schemas.openxmlformats.org/officeDocument/2006/relationships/printerSettings" Target="../printerSettings/printerSettings10.bin"/><Relationship Id="rId1" Type="http://schemas.openxmlformats.org/officeDocument/2006/relationships/hyperlink" Target="http://cifr.wested.org/resources/lea-moe/calculator/" TargetMode="External"/><Relationship Id="rId4" Type="http://schemas.openxmlformats.org/officeDocument/2006/relationships/table" Target="../tables/table10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07.xml"/><Relationship Id="rId13" Type="http://schemas.openxmlformats.org/officeDocument/2006/relationships/table" Target="../tables/table112.xml"/><Relationship Id="rId18" Type="http://schemas.openxmlformats.org/officeDocument/2006/relationships/table" Target="../tables/table117.xml"/><Relationship Id="rId26" Type="http://schemas.openxmlformats.org/officeDocument/2006/relationships/table" Target="../tables/table125.xml"/><Relationship Id="rId3" Type="http://schemas.openxmlformats.org/officeDocument/2006/relationships/table" Target="../tables/table102.xml"/><Relationship Id="rId21" Type="http://schemas.openxmlformats.org/officeDocument/2006/relationships/table" Target="../tables/table120.xml"/><Relationship Id="rId7" Type="http://schemas.openxmlformats.org/officeDocument/2006/relationships/table" Target="../tables/table106.xml"/><Relationship Id="rId12" Type="http://schemas.openxmlformats.org/officeDocument/2006/relationships/table" Target="../tables/table111.xml"/><Relationship Id="rId17" Type="http://schemas.openxmlformats.org/officeDocument/2006/relationships/table" Target="../tables/table116.xml"/><Relationship Id="rId25" Type="http://schemas.openxmlformats.org/officeDocument/2006/relationships/table" Target="../tables/table124.xml"/><Relationship Id="rId2" Type="http://schemas.openxmlformats.org/officeDocument/2006/relationships/printerSettings" Target="../printerSettings/printerSettings11.bin"/><Relationship Id="rId16" Type="http://schemas.openxmlformats.org/officeDocument/2006/relationships/table" Target="../tables/table115.xml"/><Relationship Id="rId20" Type="http://schemas.openxmlformats.org/officeDocument/2006/relationships/table" Target="../tables/table119.xml"/><Relationship Id="rId29" Type="http://schemas.openxmlformats.org/officeDocument/2006/relationships/table" Target="../tables/table128.xml"/><Relationship Id="rId1" Type="http://schemas.openxmlformats.org/officeDocument/2006/relationships/hyperlink" Target="http://cifr.wested.org/resources/lea-moe/calculator/" TargetMode="External"/><Relationship Id="rId6" Type="http://schemas.openxmlformats.org/officeDocument/2006/relationships/table" Target="../tables/table105.xml"/><Relationship Id="rId11" Type="http://schemas.openxmlformats.org/officeDocument/2006/relationships/table" Target="../tables/table110.xml"/><Relationship Id="rId24" Type="http://schemas.openxmlformats.org/officeDocument/2006/relationships/table" Target="../tables/table123.xml"/><Relationship Id="rId5" Type="http://schemas.openxmlformats.org/officeDocument/2006/relationships/table" Target="../tables/table104.xml"/><Relationship Id="rId15" Type="http://schemas.openxmlformats.org/officeDocument/2006/relationships/table" Target="../tables/table114.xml"/><Relationship Id="rId23" Type="http://schemas.openxmlformats.org/officeDocument/2006/relationships/table" Target="../tables/table122.xml"/><Relationship Id="rId28" Type="http://schemas.openxmlformats.org/officeDocument/2006/relationships/table" Target="../tables/table127.xml"/><Relationship Id="rId10" Type="http://schemas.openxmlformats.org/officeDocument/2006/relationships/table" Target="../tables/table109.xml"/><Relationship Id="rId19" Type="http://schemas.openxmlformats.org/officeDocument/2006/relationships/table" Target="../tables/table118.xml"/><Relationship Id="rId4" Type="http://schemas.openxmlformats.org/officeDocument/2006/relationships/table" Target="../tables/table103.xml"/><Relationship Id="rId9" Type="http://schemas.openxmlformats.org/officeDocument/2006/relationships/table" Target="../tables/table108.xml"/><Relationship Id="rId14" Type="http://schemas.openxmlformats.org/officeDocument/2006/relationships/table" Target="../tables/table113.xml"/><Relationship Id="rId22" Type="http://schemas.openxmlformats.org/officeDocument/2006/relationships/table" Target="../tables/table121.xml"/><Relationship Id="rId27" Type="http://schemas.openxmlformats.org/officeDocument/2006/relationships/table" Target="../tables/table126.xml"/><Relationship Id="rId30" Type="http://schemas.openxmlformats.org/officeDocument/2006/relationships/table" Target="../tables/table129.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33.xml"/><Relationship Id="rId13" Type="http://schemas.openxmlformats.org/officeDocument/2006/relationships/table" Target="../tables/table138.xml"/><Relationship Id="rId18" Type="http://schemas.openxmlformats.org/officeDocument/2006/relationships/table" Target="../tables/table143.xml"/><Relationship Id="rId3" Type="http://schemas.openxmlformats.org/officeDocument/2006/relationships/hyperlink" Target="http://cifr.wested.org/resources/lea-moe/calculator/" TargetMode="External"/><Relationship Id="rId21" Type="http://schemas.openxmlformats.org/officeDocument/2006/relationships/table" Target="../tables/table146.xml"/><Relationship Id="rId7" Type="http://schemas.openxmlformats.org/officeDocument/2006/relationships/table" Target="../tables/table132.xml"/><Relationship Id="rId12" Type="http://schemas.openxmlformats.org/officeDocument/2006/relationships/table" Target="../tables/table137.xml"/><Relationship Id="rId17" Type="http://schemas.openxmlformats.org/officeDocument/2006/relationships/table" Target="../tables/table142.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41.xml"/><Relationship Id="rId20" Type="http://schemas.openxmlformats.org/officeDocument/2006/relationships/table" Target="../tables/table145.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31.xml"/><Relationship Id="rId11" Type="http://schemas.openxmlformats.org/officeDocument/2006/relationships/table" Target="../tables/table136.xml"/><Relationship Id="rId5" Type="http://schemas.openxmlformats.org/officeDocument/2006/relationships/table" Target="../tables/table130.xml"/><Relationship Id="rId15" Type="http://schemas.openxmlformats.org/officeDocument/2006/relationships/table" Target="../tables/table140.xml"/><Relationship Id="rId10" Type="http://schemas.openxmlformats.org/officeDocument/2006/relationships/table" Target="../tables/table135.xml"/><Relationship Id="rId19" Type="http://schemas.openxmlformats.org/officeDocument/2006/relationships/table" Target="../tables/table144.xml"/><Relationship Id="rId4" Type="http://schemas.openxmlformats.org/officeDocument/2006/relationships/printerSettings" Target="../printerSettings/printerSettings12.bin"/><Relationship Id="rId9" Type="http://schemas.openxmlformats.org/officeDocument/2006/relationships/table" Target="../tables/table134.xml"/><Relationship Id="rId14" Type="http://schemas.openxmlformats.org/officeDocument/2006/relationships/table" Target="../tables/table139.xml"/><Relationship Id="rId22" Type="http://schemas.openxmlformats.org/officeDocument/2006/relationships/table" Target="../tables/table14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8.xml"/><Relationship Id="rId2" Type="http://schemas.openxmlformats.org/officeDocument/2006/relationships/printerSettings" Target="../printerSettings/printerSettings13.bin"/><Relationship Id="rId1" Type="http://schemas.openxmlformats.org/officeDocument/2006/relationships/hyperlink" Target="http://cifr.wested.org/resources/lea-moe/calculator/" TargetMode="External"/><Relationship Id="rId4" Type="http://schemas.openxmlformats.org/officeDocument/2006/relationships/table" Target="../tables/table149.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55.xml"/><Relationship Id="rId13" Type="http://schemas.openxmlformats.org/officeDocument/2006/relationships/table" Target="../tables/table160.xml"/><Relationship Id="rId18" Type="http://schemas.openxmlformats.org/officeDocument/2006/relationships/table" Target="../tables/table165.xml"/><Relationship Id="rId26" Type="http://schemas.openxmlformats.org/officeDocument/2006/relationships/table" Target="../tables/table173.xml"/><Relationship Id="rId3" Type="http://schemas.openxmlformats.org/officeDocument/2006/relationships/table" Target="../tables/table150.xml"/><Relationship Id="rId21" Type="http://schemas.openxmlformats.org/officeDocument/2006/relationships/table" Target="../tables/table168.xml"/><Relationship Id="rId7" Type="http://schemas.openxmlformats.org/officeDocument/2006/relationships/table" Target="../tables/table154.xml"/><Relationship Id="rId12" Type="http://schemas.openxmlformats.org/officeDocument/2006/relationships/table" Target="../tables/table159.xml"/><Relationship Id="rId17" Type="http://schemas.openxmlformats.org/officeDocument/2006/relationships/table" Target="../tables/table164.xml"/><Relationship Id="rId25" Type="http://schemas.openxmlformats.org/officeDocument/2006/relationships/table" Target="../tables/table172.xml"/><Relationship Id="rId2" Type="http://schemas.openxmlformats.org/officeDocument/2006/relationships/printerSettings" Target="../printerSettings/printerSettings14.bin"/><Relationship Id="rId16" Type="http://schemas.openxmlformats.org/officeDocument/2006/relationships/table" Target="../tables/table163.xml"/><Relationship Id="rId20" Type="http://schemas.openxmlformats.org/officeDocument/2006/relationships/table" Target="../tables/table167.xml"/><Relationship Id="rId29" Type="http://schemas.openxmlformats.org/officeDocument/2006/relationships/table" Target="../tables/table176.xml"/><Relationship Id="rId1" Type="http://schemas.openxmlformats.org/officeDocument/2006/relationships/hyperlink" Target="http://cifr.wested.org/resources/lea-moe/calculator/" TargetMode="External"/><Relationship Id="rId6" Type="http://schemas.openxmlformats.org/officeDocument/2006/relationships/table" Target="../tables/table153.xml"/><Relationship Id="rId11" Type="http://schemas.openxmlformats.org/officeDocument/2006/relationships/table" Target="../tables/table158.xml"/><Relationship Id="rId24" Type="http://schemas.openxmlformats.org/officeDocument/2006/relationships/table" Target="../tables/table171.xml"/><Relationship Id="rId5" Type="http://schemas.openxmlformats.org/officeDocument/2006/relationships/table" Target="../tables/table152.xml"/><Relationship Id="rId15" Type="http://schemas.openxmlformats.org/officeDocument/2006/relationships/table" Target="../tables/table162.xml"/><Relationship Id="rId23" Type="http://schemas.openxmlformats.org/officeDocument/2006/relationships/table" Target="../tables/table170.xml"/><Relationship Id="rId28" Type="http://schemas.openxmlformats.org/officeDocument/2006/relationships/table" Target="../tables/table175.xml"/><Relationship Id="rId10" Type="http://schemas.openxmlformats.org/officeDocument/2006/relationships/table" Target="../tables/table157.xml"/><Relationship Id="rId19" Type="http://schemas.openxmlformats.org/officeDocument/2006/relationships/table" Target="../tables/table166.xml"/><Relationship Id="rId4" Type="http://schemas.openxmlformats.org/officeDocument/2006/relationships/table" Target="../tables/table151.xml"/><Relationship Id="rId9" Type="http://schemas.openxmlformats.org/officeDocument/2006/relationships/table" Target="../tables/table156.xml"/><Relationship Id="rId14" Type="http://schemas.openxmlformats.org/officeDocument/2006/relationships/table" Target="../tables/table161.xml"/><Relationship Id="rId22" Type="http://schemas.openxmlformats.org/officeDocument/2006/relationships/table" Target="../tables/table169.xml"/><Relationship Id="rId27" Type="http://schemas.openxmlformats.org/officeDocument/2006/relationships/table" Target="../tables/table174.xml"/><Relationship Id="rId30" Type="http://schemas.openxmlformats.org/officeDocument/2006/relationships/table" Target="../tables/table177.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181.xml"/><Relationship Id="rId13" Type="http://schemas.openxmlformats.org/officeDocument/2006/relationships/table" Target="../tables/table186.xml"/><Relationship Id="rId18" Type="http://schemas.openxmlformats.org/officeDocument/2006/relationships/table" Target="../tables/table191.xml"/><Relationship Id="rId3" Type="http://schemas.openxmlformats.org/officeDocument/2006/relationships/hyperlink" Target="http://cifr.wested.org/resources/lea-moe/calculator/" TargetMode="External"/><Relationship Id="rId21" Type="http://schemas.openxmlformats.org/officeDocument/2006/relationships/table" Target="../tables/table194.xml"/><Relationship Id="rId7" Type="http://schemas.openxmlformats.org/officeDocument/2006/relationships/table" Target="../tables/table180.xml"/><Relationship Id="rId12" Type="http://schemas.openxmlformats.org/officeDocument/2006/relationships/table" Target="../tables/table185.xml"/><Relationship Id="rId17" Type="http://schemas.openxmlformats.org/officeDocument/2006/relationships/table" Target="../tables/table190.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89.xml"/><Relationship Id="rId20" Type="http://schemas.openxmlformats.org/officeDocument/2006/relationships/table" Target="../tables/table193.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79.xml"/><Relationship Id="rId11" Type="http://schemas.openxmlformats.org/officeDocument/2006/relationships/table" Target="../tables/table184.xml"/><Relationship Id="rId5" Type="http://schemas.openxmlformats.org/officeDocument/2006/relationships/table" Target="../tables/table178.xml"/><Relationship Id="rId15" Type="http://schemas.openxmlformats.org/officeDocument/2006/relationships/table" Target="../tables/table188.xml"/><Relationship Id="rId10" Type="http://schemas.openxmlformats.org/officeDocument/2006/relationships/table" Target="../tables/table183.xml"/><Relationship Id="rId19" Type="http://schemas.openxmlformats.org/officeDocument/2006/relationships/table" Target="../tables/table192.xml"/><Relationship Id="rId4" Type="http://schemas.openxmlformats.org/officeDocument/2006/relationships/printerSettings" Target="../printerSettings/printerSettings15.bin"/><Relationship Id="rId9" Type="http://schemas.openxmlformats.org/officeDocument/2006/relationships/table" Target="../tables/table182.xml"/><Relationship Id="rId14" Type="http://schemas.openxmlformats.org/officeDocument/2006/relationships/table" Target="../tables/table187.xml"/><Relationship Id="rId22" Type="http://schemas.openxmlformats.org/officeDocument/2006/relationships/table" Target="../tables/table19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96.xml"/><Relationship Id="rId2" Type="http://schemas.openxmlformats.org/officeDocument/2006/relationships/printerSettings" Target="../printerSettings/printerSettings16.bin"/><Relationship Id="rId1" Type="http://schemas.openxmlformats.org/officeDocument/2006/relationships/hyperlink" Target="http://cifr.wested.org/resources/lea-moe/calculator/" TargetMode="External"/><Relationship Id="rId4" Type="http://schemas.openxmlformats.org/officeDocument/2006/relationships/table" Target="../tables/table197.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203.xml"/><Relationship Id="rId13" Type="http://schemas.openxmlformats.org/officeDocument/2006/relationships/table" Target="../tables/table208.xml"/><Relationship Id="rId18" Type="http://schemas.openxmlformats.org/officeDocument/2006/relationships/table" Target="../tables/table213.xml"/><Relationship Id="rId26" Type="http://schemas.openxmlformats.org/officeDocument/2006/relationships/table" Target="../tables/table221.xml"/><Relationship Id="rId3" Type="http://schemas.openxmlformats.org/officeDocument/2006/relationships/table" Target="../tables/table198.xml"/><Relationship Id="rId21" Type="http://schemas.openxmlformats.org/officeDocument/2006/relationships/table" Target="../tables/table216.xml"/><Relationship Id="rId7" Type="http://schemas.openxmlformats.org/officeDocument/2006/relationships/table" Target="../tables/table202.xml"/><Relationship Id="rId12" Type="http://schemas.openxmlformats.org/officeDocument/2006/relationships/table" Target="../tables/table207.xml"/><Relationship Id="rId17" Type="http://schemas.openxmlformats.org/officeDocument/2006/relationships/table" Target="../tables/table212.xml"/><Relationship Id="rId25" Type="http://schemas.openxmlformats.org/officeDocument/2006/relationships/table" Target="../tables/table220.xml"/><Relationship Id="rId2" Type="http://schemas.openxmlformats.org/officeDocument/2006/relationships/printerSettings" Target="../printerSettings/printerSettings17.bin"/><Relationship Id="rId16" Type="http://schemas.openxmlformats.org/officeDocument/2006/relationships/table" Target="../tables/table211.xml"/><Relationship Id="rId20" Type="http://schemas.openxmlformats.org/officeDocument/2006/relationships/table" Target="../tables/table215.xml"/><Relationship Id="rId29" Type="http://schemas.openxmlformats.org/officeDocument/2006/relationships/table" Target="../tables/table224.xml"/><Relationship Id="rId1" Type="http://schemas.openxmlformats.org/officeDocument/2006/relationships/hyperlink" Target="http://cifr.wested.org/resources/lea-moe/calculator/" TargetMode="External"/><Relationship Id="rId6" Type="http://schemas.openxmlformats.org/officeDocument/2006/relationships/table" Target="../tables/table201.xml"/><Relationship Id="rId11" Type="http://schemas.openxmlformats.org/officeDocument/2006/relationships/table" Target="../tables/table206.xml"/><Relationship Id="rId24" Type="http://schemas.openxmlformats.org/officeDocument/2006/relationships/table" Target="../tables/table219.xml"/><Relationship Id="rId5" Type="http://schemas.openxmlformats.org/officeDocument/2006/relationships/table" Target="../tables/table200.xml"/><Relationship Id="rId15" Type="http://schemas.openxmlformats.org/officeDocument/2006/relationships/table" Target="../tables/table210.xml"/><Relationship Id="rId23" Type="http://schemas.openxmlformats.org/officeDocument/2006/relationships/table" Target="../tables/table218.xml"/><Relationship Id="rId28" Type="http://schemas.openxmlformats.org/officeDocument/2006/relationships/table" Target="../tables/table223.xml"/><Relationship Id="rId10" Type="http://schemas.openxmlformats.org/officeDocument/2006/relationships/table" Target="../tables/table205.xml"/><Relationship Id="rId19" Type="http://schemas.openxmlformats.org/officeDocument/2006/relationships/table" Target="../tables/table214.xml"/><Relationship Id="rId4" Type="http://schemas.openxmlformats.org/officeDocument/2006/relationships/table" Target="../tables/table199.xml"/><Relationship Id="rId9" Type="http://schemas.openxmlformats.org/officeDocument/2006/relationships/table" Target="../tables/table204.xml"/><Relationship Id="rId14" Type="http://schemas.openxmlformats.org/officeDocument/2006/relationships/table" Target="../tables/table209.xml"/><Relationship Id="rId22" Type="http://schemas.openxmlformats.org/officeDocument/2006/relationships/table" Target="../tables/table217.xml"/><Relationship Id="rId27" Type="http://schemas.openxmlformats.org/officeDocument/2006/relationships/table" Target="../tables/table222.xml"/><Relationship Id="rId30" Type="http://schemas.openxmlformats.org/officeDocument/2006/relationships/table" Target="../tables/table225.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229.xml"/><Relationship Id="rId13" Type="http://schemas.openxmlformats.org/officeDocument/2006/relationships/table" Target="../tables/table234.xml"/><Relationship Id="rId18" Type="http://schemas.openxmlformats.org/officeDocument/2006/relationships/table" Target="../tables/table239.xml"/><Relationship Id="rId3" Type="http://schemas.openxmlformats.org/officeDocument/2006/relationships/hyperlink" Target="http://cifr.wested.org/resources/lea-moe/calculator/" TargetMode="External"/><Relationship Id="rId21" Type="http://schemas.openxmlformats.org/officeDocument/2006/relationships/table" Target="../tables/table242.xml"/><Relationship Id="rId7" Type="http://schemas.openxmlformats.org/officeDocument/2006/relationships/table" Target="../tables/table228.xml"/><Relationship Id="rId12" Type="http://schemas.openxmlformats.org/officeDocument/2006/relationships/table" Target="../tables/table233.xml"/><Relationship Id="rId17" Type="http://schemas.openxmlformats.org/officeDocument/2006/relationships/table" Target="../tables/table238.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37.xml"/><Relationship Id="rId20" Type="http://schemas.openxmlformats.org/officeDocument/2006/relationships/table" Target="../tables/table241.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27.xml"/><Relationship Id="rId11" Type="http://schemas.openxmlformats.org/officeDocument/2006/relationships/table" Target="../tables/table232.xml"/><Relationship Id="rId5" Type="http://schemas.openxmlformats.org/officeDocument/2006/relationships/table" Target="../tables/table226.xml"/><Relationship Id="rId15" Type="http://schemas.openxmlformats.org/officeDocument/2006/relationships/table" Target="../tables/table236.xml"/><Relationship Id="rId10" Type="http://schemas.openxmlformats.org/officeDocument/2006/relationships/table" Target="../tables/table231.xml"/><Relationship Id="rId19" Type="http://schemas.openxmlformats.org/officeDocument/2006/relationships/table" Target="../tables/table240.xml"/><Relationship Id="rId4" Type="http://schemas.openxmlformats.org/officeDocument/2006/relationships/printerSettings" Target="../printerSettings/printerSettings18.bin"/><Relationship Id="rId9" Type="http://schemas.openxmlformats.org/officeDocument/2006/relationships/table" Target="../tables/table230.xml"/><Relationship Id="rId14" Type="http://schemas.openxmlformats.org/officeDocument/2006/relationships/table" Target="../tables/table235.xml"/><Relationship Id="rId22" Type="http://schemas.openxmlformats.org/officeDocument/2006/relationships/table" Target="../tables/table243.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248.xml"/><Relationship Id="rId3" Type="http://schemas.openxmlformats.org/officeDocument/2006/relationships/printerSettings" Target="../printerSettings/printerSettings19.bin"/><Relationship Id="rId7" Type="http://schemas.openxmlformats.org/officeDocument/2006/relationships/table" Target="../tables/table247.xml"/><Relationship Id="rId12" Type="http://schemas.openxmlformats.org/officeDocument/2006/relationships/table" Target="../tables/table252.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46.xml"/><Relationship Id="rId11" Type="http://schemas.openxmlformats.org/officeDocument/2006/relationships/table" Target="../tables/table251.xml"/><Relationship Id="rId5" Type="http://schemas.openxmlformats.org/officeDocument/2006/relationships/table" Target="../tables/table245.xml"/><Relationship Id="rId10" Type="http://schemas.openxmlformats.org/officeDocument/2006/relationships/table" Target="../tables/table250.xml"/><Relationship Id="rId4" Type="http://schemas.openxmlformats.org/officeDocument/2006/relationships/table" Target="../tables/table244.xml"/><Relationship Id="rId9" Type="http://schemas.openxmlformats.org/officeDocument/2006/relationships/table" Target="../tables/table249.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257.xml"/><Relationship Id="rId3" Type="http://schemas.openxmlformats.org/officeDocument/2006/relationships/printerSettings" Target="../printerSettings/printerSettings20.bin"/><Relationship Id="rId7" Type="http://schemas.openxmlformats.org/officeDocument/2006/relationships/table" Target="../tables/table256.xml"/><Relationship Id="rId12" Type="http://schemas.openxmlformats.org/officeDocument/2006/relationships/table" Target="../tables/table261.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55.xml"/><Relationship Id="rId11" Type="http://schemas.openxmlformats.org/officeDocument/2006/relationships/table" Target="../tables/table260.xml"/><Relationship Id="rId5" Type="http://schemas.openxmlformats.org/officeDocument/2006/relationships/table" Target="../tables/table254.xml"/><Relationship Id="rId10" Type="http://schemas.openxmlformats.org/officeDocument/2006/relationships/table" Target="../tables/table259.xml"/><Relationship Id="rId4" Type="http://schemas.openxmlformats.org/officeDocument/2006/relationships/table" Target="../tables/table253.xml"/><Relationship Id="rId9" Type="http://schemas.openxmlformats.org/officeDocument/2006/relationships/table" Target="../tables/table258.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266.xml"/><Relationship Id="rId3" Type="http://schemas.openxmlformats.org/officeDocument/2006/relationships/printerSettings" Target="../printerSettings/printerSettings21.bin"/><Relationship Id="rId7" Type="http://schemas.openxmlformats.org/officeDocument/2006/relationships/table" Target="../tables/table265.xml"/><Relationship Id="rId12" Type="http://schemas.openxmlformats.org/officeDocument/2006/relationships/table" Target="../tables/table270.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64.xml"/><Relationship Id="rId11" Type="http://schemas.openxmlformats.org/officeDocument/2006/relationships/table" Target="../tables/table269.xml"/><Relationship Id="rId5" Type="http://schemas.openxmlformats.org/officeDocument/2006/relationships/table" Target="../tables/table263.xml"/><Relationship Id="rId10" Type="http://schemas.openxmlformats.org/officeDocument/2006/relationships/table" Target="../tables/table268.xml"/><Relationship Id="rId4" Type="http://schemas.openxmlformats.org/officeDocument/2006/relationships/table" Target="../tables/table262.xml"/><Relationship Id="rId9" Type="http://schemas.openxmlformats.org/officeDocument/2006/relationships/table" Target="../tables/table267.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275.xml"/><Relationship Id="rId3" Type="http://schemas.openxmlformats.org/officeDocument/2006/relationships/printerSettings" Target="../printerSettings/printerSettings22.bin"/><Relationship Id="rId7" Type="http://schemas.openxmlformats.org/officeDocument/2006/relationships/table" Target="../tables/table274.xml"/><Relationship Id="rId12" Type="http://schemas.openxmlformats.org/officeDocument/2006/relationships/table" Target="../tables/table279.xml"/><Relationship Id="rId2" Type="http://schemas.openxmlformats.org/officeDocument/2006/relationships/hyperlink" Target="http://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73.xml"/><Relationship Id="rId11" Type="http://schemas.openxmlformats.org/officeDocument/2006/relationships/table" Target="../tables/table278.xml"/><Relationship Id="rId5" Type="http://schemas.openxmlformats.org/officeDocument/2006/relationships/table" Target="../tables/table272.xml"/><Relationship Id="rId10" Type="http://schemas.openxmlformats.org/officeDocument/2006/relationships/table" Target="../tables/table277.xml"/><Relationship Id="rId4" Type="http://schemas.openxmlformats.org/officeDocument/2006/relationships/table" Target="../tables/table271.xml"/><Relationship Id="rId9" Type="http://schemas.openxmlformats.org/officeDocument/2006/relationships/table" Target="../tables/table27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sheetPr>
  <dimension ref="A1:A8"/>
  <sheetViews>
    <sheetView workbookViewId="0">
      <selection activeCell="A2" sqref="A2"/>
    </sheetView>
  </sheetViews>
  <sheetFormatPr defaultColWidth="8" defaultRowHeight="15" x14ac:dyDescent="0.25"/>
  <cols>
    <col min="1" max="1" width="90.75" style="461" customWidth="1"/>
    <col min="2" max="16384" width="8" style="461"/>
  </cols>
  <sheetData>
    <row r="1" spans="1:1" ht="189" customHeight="1" x14ac:dyDescent="0.25">
      <c r="A1" s="460" t="s">
        <v>257</v>
      </c>
    </row>
    <row r="2" spans="1:1" ht="75" x14ac:dyDescent="0.25">
      <c r="A2" s="462" t="s">
        <v>256</v>
      </c>
    </row>
    <row r="4" spans="1:1" ht="38.450000000000003" customHeight="1" x14ac:dyDescent="0.25">
      <c r="A4" s="463"/>
    </row>
    <row r="5" spans="1:1" x14ac:dyDescent="0.25">
      <c r="A5" s="463"/>
    </row>
    <row r="6" spans="1:1" x14ac:dyDescent="0.25">
      <c r="A6" s="463"/>
    </row>
    <row r="7" spans="1:1" x14ac:dyDescent="0.25">
      <c r="A7" s="463"/>
    </row>
    <row r="8" spans="1:1" x14ac:dyDescent="0.25">
      <c r="A8" s="463"/>
    </row>
  </sheetData>
  <sheetProtection algorithmName="SHA-512" hashValue="WWjCReH2WLd991Gt60ppSt19EeIIa/WElzTDmDYkbfW19RKYDj1vBy7FUKpJJQb3VUCLgmBUybksvkgXVi8G5w==" saltValue="G90u0lIU0nWTH03198GNp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autoPageBreaks="0"/>
  </sheetPr>
  <dimension ref="A337:J337"/>
  <sheetViews>
    <sheetView topLeftCell="A324" workbookViewId="0">
      <selection activeCell="A337" sqref="A337:J337"/>
    </sheetView>
  </sheetViews>
  <sheetFormatPr defaultColWidth="11" defaultRowHeight="15.75" x14ac:dyDescent="0.25"/>
  <sheetData>
    <row r="337" spans="1:10" ht="40.9" customHeight="1" x14ac:dyDescent="0.25">
      <c r="A337" s="482" t="s">
        <v>251</v>
      </c>
      <c r="B337" s="482"/>
      <c r="C337" s="482"/>
      <c r="D337" s="482"/>
      <c r="E337" s="482"/>
      <c r="F337" s="482"/>
      <c r="G337" s="482"/>
      <c r="H337" s="482"/>
      <c r="I337" s="482"/>
      <c r="J337" s="482"/>
    </row>
  </sheetData>
  <sheetProtection algorithmName="SHA-512" hashValue="+AFAM+4AJRNq9jAQAGM/1B052i3wfcxoFQ6wBgAueL9WLCNqwlHRg46Q4PD47oUWyPmnuJnyS0fuYLb0CmEb/A==" saltValue="GOoVKxN+L3oaeDspoEoU8A==" spinCount="100000" sheet="1" objects="1" scenarios="1"/>
  <mergeCells count="1">
    <mergeCell ref="A337:J337"/>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autoPageBreaks="0"/>
  </sheetPr>
  <dimension ref="A1:J21"/>
  <sheetViews>
    <sheetView zoomScaleNormal="100" workbookViewId="0">
      <selection activeCell="B8" sqref="B8"/>
    </sheetView>
  </sheetViews>
  <sheetFormatPr defaultColWidth="0" defaultRowHeight="15.75" zeroHeight="1" x14ac:dyDescent="0.25"/>
  <cols>
    <col min="1" max="1" width="44.25" customWidth="1"/>
    <col min="2" max="2" width="18.75" customWidth="1"/>
    <col min="3" max="10" width="9.25" hidden="1" customWidth="1"/>
    <col min="11" max="16384" width="8.75" hidden="1"/>
  </cols>
  <sheetData>
    <row r="1" spans="1:7" x14ac:dyDescent="0.25">
      <c r="A1" s="15" t="s">
        <v>112</v>
      </c>
      <c r="B1" s="16" t="s">
        <v>113</v>
      </c>
      <c r="C1" s="297"/>
      <c r="D1" s="298"/>
      <c r="E1" s="298"/>
      <c r="F1" s="298"/>
      <c r="G1" s="298"/>
    </row>
    <row r="2" spans="1:7" x14ac:dyDescent="0.25">
      <c r="A2" s="458" t="s">
        <v>254</v>
      </c>
      <c r="B2" s="464"/>
      <c r="C2" s="298"/>
      <c r="D2" s="298"/>
      <c r="E2" s="298"/>
      <c r="F2" s="298"/>
      <c r="G2" s="298"/>
    </row>
    <row r="3" spans="1:7" x14ac:dyDescent="0.25">
      <c r="A3" s="458" t="s">
        <v>255</v>
      </c>
      <c r="B3" s="464"/>
      <c r="C3" s="298"/>
      <c r="D3" s="298"/>
      <c r="E3" s="298"/>
      <c r="F3" s="298"/>
      <c r="G3" s="298"/>
    </row>
    <row r="4" spans="1:7" x14ac:dyDescent="0.25">
      <c r="A4" s="17" t="s">
        <v>217</v>
      </c>
      <c r="B4" s="480">
        <v>43647</v>
      </c>
    </row>
    <row r="5" spans="1:7" x14ac:dyDescent="0.25">
      <c r="A5" s="17" t="s">
        <v>218</v>
      </c>
      <c r="B5" s="480">
        <v>43646</v>
      </c>
    </row>
    <row r="6" spans="1:7" ht="47.25" x14ac:dyDescent="0.25">
      <c r="A6" s="299" t="s">
        <v>223</v>
      </c>
      <c r="B6" s="481" t="s">
        <v>72</v>
      </c>
    </row>
    <row r="7" spans="1:7" ht="31.5" x14ac:dyDescent="0.25">
      <c r="A7" s="204" t="s">
        <v>197</v>
      </c>
      <c r="B7" s="481" t="s">
        <v>72</v>
      </c>
    </row>
    <row r="8" spans="1:7" ht="31.5" x14ac:dyDescent="0.25">
      <c r="A8" s="205" t="s">
        <v>140</v>
      </c>
      <c r="B8" s="401" t="s">
        <v>141</v>
      </c>
    </row>
    <row r="9" spans="1:7" x14ac:dyDescent="0.25">
      <c r="A9" s="381" t="s">
        <v>192</v>
      </c>
      <c r="B9" s="481" t="s">
        <v>73</v>
      </c>
    </row>
    <row r="10" spans="1:7" x14ac:dyDescent="0.25">
      <c r="A10" s="302" t="s">
        <v>132</v>
      </c>
      <c r="B10" s="481" t="s">
        <v>73</v>
      </c>
    </row>
    <row r="11" spans="1:7" x14ac:dyDescent="0.25">
      <c r="A11" s="302" t="s">
        <v>133</v>
      </c>
      <c r="B11" s="481" t="s">
        <v>73</v>
      </c>
    </row>
    <row r="12" spans="1:7" x14ac:dyDescent="0.25">
      <c r="A12" s="302" t="s">
        <v>134</v>
      </c>
      <c r="B12" s="481" t="s">
        <v>73</v>
      </c>
    </row>
    <row r="13" spans="1:7" x14ac:dyDescent="0.25">
      <c r="A13" s="302" t="s">
        <v>135</v>
      </c>
      <c r="B13" s="481" t="s">
        <v>73</v>
      </c>
    </row>
    <row r="14" spans="1:7" x14ac:dyDescent="0.25">
      <c r="A14" s="302" t="s">
        <v>136</v>
      </c>
      <c r="B14" s="481" t="s">
        <v>73</v>
      </c>
    </row>
    <row r="15" spans="1:7" x14ac:dyDescent="0.25">
      <c r="A15" s="302" t="s">
        <v>137</v>
      </c>
      <c r="B15" s="481" t="s">
        <v>73</v>
      </c>
    </row>
    <row r="16" spans="1:7" x14ac:dyDescent="0.25">
      <c r="A16" s="302" t="s">
        <v>138</v>
      </c>
      <c r="B16" s="481" t="s">
        <v>73</v>
      </c>
    </row>
    <row r="17" spans="1:2" x14ac:dyDescent="0.25">
      <c r="A17" s="302" t="s">
        <v>139</v>
      </c>
      <c r="B17" s="481" t="s">
        <v>73</v>
      </c>
    </row>
    <row r="18" spans="1:2" ht="25.9" customHeight="1" x14ac:dyDescent="0.25">
      <c r="A18" s="484" t="s">
        <v>258</v>
      </c>
      <c r="B18" s="484"/>
    </row>
    <row r="19" spans="1:2" s="434" customFormat="1" ht="12" x14ac:dyDescent="0.2">
      <c r="A19" s="429" t="s">
        <v>253</v>
      </c>
      <c r="B19" s="426"/>
    </row>
    <row r="20" spans="1:2" x14ac:dyDescent="0.25">
      <c r="A20" s="483" t="s">
        <v>221</v>
      </c>
      <c r="B20" s="483"/>
    </row>
    <row r="21" spans="1:2" hidden="1" x14ac:dyDescent="0.25"/>
  </sheetData>
  <sheetProtection algorithmName="SHA-512" hashValue="HAJ9BP1Uld0e9tlSYt5Vk2aivxGVZnSQ2Bxbp9CnEKO2NXLLTkXfnfgSJw8cR4dq7qmGSXwyh8pht2LvsJpNtA==" saltValue="9U1xdvOe6pfwtPVp7uYXnA==" spinCount="100000" sheet="1" objects="1" scenarios="1"/>
  <mergeCells count="2">
    <mergeCell ref="A20:B20"/>
    <mergeCell ref="A18:B18"/>
  </mergeCells>
  <hyperlinks>
    <hyperlink ref="A19" r:id="rId1" display="http://cifr.wested.org/resources/lea-moe/calculator/"/>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Lists!$B$2:$B$3</xm:f>
          </x14:formula1>
          <xm:sqref>B9:B17 B6:B7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autoPageBreaks="0"/>
  </sheetPr>
  <dimension ref="A1:AA16"/>
  <sheetViews>
    <sheetView zoomScaleNormal="100" workbookViewId="0">
      <pane xSplit="1" ySplit="2" topLeftCell="H3" activePane="bottomRight" state="frozen"/>
      <selection pane="topRight" activeCell="B1" sqref="B1"/>
      <selection pane="bottomLeft" activeCell="A3" sqref="A3"/>
      <selection pane="bottomRight" activeCell="L2" sqref="L2"/>
    </sheetView>
  </sheetViews>
  <sheetFormatPr defaultColWidth="0" defaultRowHeight="15.75" zeroHeight="1" x14ac:dyDescent="0.25"/>
  <cols>
    <col min="1" max="2" width="15.75" customWidth="1"/>
    <col min="3" max="3" width="13.5" customWidth="1"/>
    <col min="4" max="5" width="15.75" style="2" customWidth="1"/>
    <col min="6" max="11" width="15.75" customWidth="1"/>
    <col min="12" max="12" width="18.25" customWidth="1"/>
    <col min="13" max="14" width="20.5" customWidth="1"/>
    <col min="15" max="16" width="22.25" customWidth="1"/>
    <col min="17" max="17" width="21.25" customWidth="1"/>
    <col min="18" max="18" width="18" customWidth="1"/>
    <col min="19" max="22" width="11" customWidth="1"/>
    <col min="23" max="23" width="16.5" customWidth="1"/>
    <col min="24" max="26" width="16.75" customWidth="1"/>
    <col min="27" max="27" width="16.75" hidden="1" customWidth="1"/>
    <col min="28" max="16384" width="11" hidden="1"/>
  </cols>
  <sheetData>
    <row r="1" spans="1:26" ht="18.75" x14ac:dyDescent="0.3">
      <c r="A1" s="469" t="s">
        <v>254</v>
      </c>
      <c r="B1" s="470" t="str">
        <f>IF('3. Getting Started'!B2="","",'3. Getting Started'!B2)</f>
        <v/>
      </c>
      <c r="C1" s="9"/>
      <c r="D1" s="133" t="s">
        <v>93</v>
      </c>
      <c r="E1" s="133"/>
      <c r="F1" s="10"/>
      <c r="G1" s="10"/>
      <c r="H1" s="10"/>
      <c r="I1" s="10"/>
      <c r="J1" s="10"/>
      <c r="K1" s="10"/>
      <c r="R1" s="485" t="s">
        <v>219</v>
      </c>
      <c r="S1" s="485"/>
      <c r="T1" s="485"/>
      <c r="U1" s="485"/>
      <c r="V1" s="485" t="s">
        <v>219</v>
      </c>
      <c r="W1" s="485"/>
      <c r="X1" s="485"/>
      <c r="Y1" s="485"/>
      <c r="Z1" s="485"/>
    </row>
    <row r="2" spans="1:26" s="1" customFormat="1" ht="75.75" thickBot="1" x14ac:dyDescent="0.3">
      <c r="A2" s="142" t="s">
        <v>206</v>
      </c>
      <c r="B2" s="146" t="s">
        <v>108</v>
      </c>
      <c r="C2" s="142" t="s">
        <v>204</v>
      </c>
      <c r="D2" s="143" t="s">
        <v>14</v>
      </c>
      <c r="E2" s="144" t="s">
        <v>58</v>
      </c>
      <c r="F2" s="145" t="s">
        <v>15</v>
      </c>
      <c r="G2" s="146" t="s">
        <v>59</v>
      </c>
      <c r="H2" s="145" t="s">
        <v>16</v>
      </c>
      <c r="I2" s="146" t="s">
        <v>60</v>
      </c>
      <c r="J2" s="145" t="s">
        <v>17</v>
      </c>
      <c r="K2" s="146" t="s">
        <v>61</v>
      </c>
      <c r="L2" s="145" t="s">
        <v>129</v>
      </c>
      <c r="M2" s="203" t="s">
        <v>130</v>
      </c>
      <c r="N2" s="291" t="s">
        <v>131</v>
      </c>
      <c r="O2" s="202" t="s">
        <v>198</v>
      </c>
      <c r="P2" s="202" t="s">
        <v>199</v>
      </c>
      <c r="Q2" s="202" t="s">
        <v>200</v>
      </c>
      <c r="R2" s="485"/>
      <c r="S2" s="485"/>
      <c r="T2" s="485"/>
      <c r="U2" s="485"/>
      <c r="V2" s="485"/>
      <c r="W2" s="485"/>
      <c r="X2" s="485"/>
      <c r="Y2" s="485"/>
      <c r="Z2" s="485"/>
    </row>
    <row r="3" spans="1:26" ht="46.9" customHeight="1" thickTop="1" x14ac:dyDescent="0.25">
      <c r="A3" s="400" t="s">
        <v>193</v>
      </c>
      <c r="B3" s="341" t="s">
        <v>125</v>
      </c>
      <c r="C3" s="403"/>
      <c r="D3" s="383"/>
      <c r="E3" s="418" t="s">
        <v>220</v>
      </c>
      <c r="F3" s="383"/>
      <c r="G3" s="418" t="s">
        <v>220</v>
      </c>
      <c r="H3" s="384" t="str">
        <f>IF(D3="","",D3/C3)</f>
        <v/>
      </c>
      <c r="I3" s="418" t="s">
        <v>220</v>
      </c>
      <c r="J3" s="384" t="str">
        <f>IF(F3="","",F3/C3)</f>
        <v/>
      </c>
      <c r="K3" s="418" t="s">
        <v>220</v>
      </c>
      <c r="L3" s="293">
        <v>0</v>
      </c>
      <c r="M3" s="293">
        <v>0</v>
      </c>
      <c r="N3" s="296">
        <f t="shared" ref="N3:N7" si="0">L3+M3</f>
        <v>0</v>
      </c>
      <c r="O3" s="409">
        <v>0</v>
      </c>
      <c r="P3" s="412"/>
      <c r="Q3" s="413"/>
      <c r="R3" s="485"/>
      <c r="S3" s="485"/>
      <c r="T3" s="485"/>
      <c r="U3" s="485"/>
      <c r="V3" s="485"/>
      <c r="W3" s="485"/>
      <c r="X3" s="485"/>
      <c r="Y3" s="485"/>
      <c r="Z3" s="485"/>
    </row>
    <row r="4" spans="1:26" ht="46.9" customHeight="1" x14ac:dyDescent="0.25">
      <c r="A4" s="139" t="s">
        <v>119</v>
      </c>
      <c r="B4" s="200" t="s">
        <v>125</v>
      </c>
      <c r="C4" s="404"/>
      <c r="D4" s="140"/>
      <c r="E4" s="382"/>
      <c r="F4" s="140"/>
      <c r="G4" s="382"/>
      <c r="H4" s="141" t="str">
        <f>IF(D4="","",D4/C4)</f>
        <v/>
      </c>
      <c r="I4" s="382"/>
      <c r="J4" s="141" t="str">
        <f>IF(F4="","",F4/C4)</f>
        <v/>
      </c>
      <c r="K4" s="382"/>
      <c r="L4" s="293">
        <v>0</v>
      </c>
      <c r="M4" s="293">
        <v>0</v>
      </c>
      <c r="N4" s="296">
        <f t="shared" si="0"/>
        <v>0</v>
      </c>
      <c r="O4" s="410">
        <v>0</v>
      </c>
      <c r="P4" s="414"/>
      <c r="Q4" s="415"/>
      <c r="R4" s="485"/>
      <c r="S4" s="485"/>
      <c r="T4" s="485"/>
      <c r="U4" s="485"/>
      <c r="V4" s="485"/>
      <c r="W4" s="485"/>
      <c r="X4" s="485"/>
      <c r="Y4" s="485"/>
      <c r="Z4" s="485"/>
    </row>
    <row r="5" spans="1:26" ht="46.9" customHeight="1" x14ac:dyDescent="0.25">
      <c r="A5" s="131" t="s">
        <v>120</v>
      </c>
      <c r="B5" s="200" t="s">
        <v>125</v>
      </c>
      <c r="C5" s="405"/>
      <c r="D5" s="134"/>
      <c r="E5" s="135"/>
      <c r="F5" s="134"/>
      <c r="G5" s="135"/>
      <c r="H5" s="136" t="str">
        <f>IF(D5="","",D5/C5)</f>
        <v/>
      </c>
      <c r="I5" s="135"/>
      <c r="J5" s="136" t="str">
        <f>IF(F5="","",F5/C5)</f>
        <v/>
      </c>
      <c r="K5" s="135"/>
      <c r="L5" s="293">
        <v>0</v>
      </c>
      <c r="M5" s="293">
        <v>0</v>
      </c>
      <c r="N5" s="296">
        <f t="shared" si="0"/>
        <v>0</v>
      </c>
      <c r="O5" s="410">
        <v>0</v>
      </c>
      <c r="P5" s="414"/>
      <c r="Q5" s="415"/>
      <c r="R5" s="485"/>
      <c r="S5" s="485"/>
      <c r="T5" s="485"/>
      <c r="U5" s="485"/>
      <c r="V5" s="485"/>
      <c r="W5" s="485"/>
      <c r="X5" s="485"/>
      <c r="Y5" s="485"/>
      <c r="Z5" s="485"/>
    </row>
    <row r="6" spans="1:26" ht="46.9" customHeight="1" x14ac:dyDescent="0.25">
      <c r="A6" s="131" t="s">
        <v>121</v>
      </c>
      <c r="B6" s="200" t="s">
        <v>125</v>
      </c>
      <c r="C6" s="405"/>
      <c r="D6" s="134"/>
      <c r="E6" s="135"/>
      <c r="F6" s="134"/>
      <c r="G6" s="135"/>
      <c r="H6" s="136" t="str">
        <f>IF(D6="","",D6/C6)</f>
        <v/>
      </c>
      <c r="I6" s="135"/>
      <c r="J6" s="136" t="str">
        <f>IF(F6="","",F6/C6)</f>
        <v/>
      </c>
      <c r="K6" s="135"/>
      <c r="L6" s="293">
        <v>0</v>
      </c>
      <c r="M6" s="293">
        <v>0</v>
      </c>
      <c r="N6" s="296">
        <f t="shared" si="0"/>
        <v>0</v>
      </c>
      <c r="O6" s="410">
        <v>0</v>
      </c>
      <c r="P6" s="414"/>
      <c r="Q6" s="415"/>
      <c r="R6" s="485"/>
      <c r="S6" s="485"/>
      <c r="T6" s="485"/>
      <c r="U6" s="485"/>
      <c r="W6" s="303" t="s">
        <v>142</v>
      </c>
      <c r="X6" s="9"/>
      <c r="Y6" s="9"/>
    </row>
    <row r="7" spans="1:26" ht="46.9" customHeight="1" thickBot="1" x14ac:dyDescent="0.3">
      <c r="A7" s="132" t="s">
        <v>122</v>
      </c>
      <c r="B7" s="337" t="s">
        <v>125</v>
      </c>
      <c r="C7" s="406"/>
      <c r="D7" s="316"/>
      <c r="E7" s="338"/>
      <c r="F7" s="316"/>
      <c r="G7" s="338"/>
      <c r="H7" s="339" t="str">
        <f>IF(D7="","",D7/C7)</f>
        <v/>
      </c>
      <c r="I7" s="338"/>
      <c r="J7" s="339" t="str">
        <f>IF(F7="","",F7/C7)</f>
        <v/>
      </c>
      <c r="K7" s="338"/>
      <c r="L7" s="293">
        <v>0</v>
      </c>
      <c r="M7" s="293">
        <v>0</v>
      </c>
      <c r="N7" s="296">
        <f t="shared" si="0"/>
        <v>0</v>
      </c>
      <c r="O7" s="411">
        <v>0</v>
      </c>
      <c r="P7" s="416"/>
      <c r="Q7" s="417"/>
      <c r="R7" s="485"/>
      <c r="S7" s="485"/>
      <c r="T7" s="485"/>
      <c r="U7" s="485"/>
      <c r="V7" s="304" t="s">
        <v>74</v>
      </c>
      <c r="W7" s="305" t="s">
        <v>34</v>
      </c>
      <c r="X7" s="305" t="s">
        <v>0</v>
      </c>
      <c r="Y7" s="305" t="s">
        <v>1</v>
      </c>
      <c r="Z7" s="306" t="s">
        <v>98</v>
      </c>
    </row>
    <row r="8" spans="1:26" ht="46.9" customHeight="1" thickTop="1" x14ac:dyDescent="0.25">
      <c r="A8" s="340" t="s">
        <v>123</v>
      </c>
      <c r="B8" s="341" t="str">
        <f>IF('6. 15-16 MOE'!B1="Eligibility","Eligibility (Budget)",IF('6. 15-16 MOE'!B1="Compliance","Compliance (Expenditures)",""))</f>
        <v>Compliance (Expenditures)</v>
      </c>
      <c r="C8" s="407" t="str">
        <f>IF(AND('6. 15-16 MOE'!B1="Eligibility",'5. 15-16 Amounts'!B1&gt;0),'5. 15-16 Amounts'!B1,IF(AND('6. 15-16 MOE'!B1="Compliance",'5. 15-16 Amounts'!I1&gt;0),'5. 15-16 Amounts'!I1,""))</f>
        <v/>
      </c>
      <c r="D8" s="342" t="str">
        <f>IF('6. 15-16 MOE'!$B$1="Eligibility",'5. 15-16 Amounts'!D30,IF('6. 15-16 MOE'!$B$1="Compliance",'5. 15-16 Amounts'!K30))</f>
        <v/>
      </c>
      <c r="E8" s="343" t="str">
        <f>IF('6. 15-16 MOE'!C6="","",IF('6. 15-16 MOE'!C6="Met","Met",IF('6. 15-16 MOE'!C9="Met","Met with Exceptions or Adjustments",IF('6. 15-16 MOE'!C11="Met","Met with Exceptions or Adjustments","Did Not Meet"))))</f>
        <v/>
      </c>
      <c r="F8" s="342" t="str">
        <f>IF('6. 15-16 MOE'!$B$1="Eligibility",'5. 15-16 Amounts'!F30,IF('6. 15-16 MOE'!$B$1="Compliance",'5. 15-16 Amounts'!M30))</f>
        <v/>
      </c>
      <c r="G8" s="343" t="str">
        <f>IF('6. 15-16 MOE'!G6="","",IF('6. 15-16 MOE'!G6="Met","Met",IF('6. 15-16 MOE'!G9="Met","Met with Exceptions or Adjustments",IF('6. 15-16 MOE'!G11="Met","Met with Exceptions or Adjustments","Did Not Meet"))))</f>
        <v/>
      </c>
      <c r="H8" s="342" t="str">
        <f>IF('6. 15-16 MOE'!$B$1="Eligibility",'5. 15-16 Amounts'!D31,IF('6. 15-16 MOE'!$B$1="Compliance",'5. 15-16 Amounts'!K31))</f>
        <v/>
      </c>
      <c r="I8" s="343" t="str">
        <f>IF('6. 15-16 MOE'!K6="","",IF('6. 15-16 MOE'!K6="Met","Met",IF('6. 15-16 MOE'!K9="Met","Met with Exceptions or Adjustments",IF('6. 15-16 MOE'!K11="Met","Met with Exceptions or Adjustments","Did Not Meet"))))</f>
        <v/>
      </c>
      <c r="J8" s="342" t="str">
        <f>IF('6. 15-16 MOE'!$B$1="Eligibility",'5. 15-16 Amounts'!F31,IF('6. 15-16 MOE'!$B$1="Compliance",'5. 15-16 Amounts'!M31))</f>
        <v/>
      </c>
      <c r="K8" s="343" t="str">
        <f>IF('6. 15-16 MOE'!O6="","",IF('6. 15-16 MOE'!O6="Met","Met",IF('6. 15-16 MOE'!O9="Met","Met with Exceptions or Adjustments",IF('6. 15-16 MOE'!O11="Met","Met with Exceptions or Adjustments","Did Not Meet"))))</f>
        <v/>
      </c>
      <c r="L8" s="300">
        <v>0</v>
      </c>
      <c r="M8" s="292">
        <v>0</v>
      </c>
      <c r="N8" s="295">
        <f t="shared" ref="N8:N12" si="1">L8+M8</f>
        <v>0</v>
      </c>
      <c r="O8" s="344">
        <f>IF('6. 15-16 MOE'!B1="Eligibility",0,IF(AND('3. Getting Started'!B$6="Yes",E8="Did Not Meet",G8="Did Not Meet",I8="Did Not Meet",K8="Did Not Meet"),MIN(N8,W8,X8,Y8,Z8),IF(AND('3. Getting Started'!B$6="No",G8="Did Not Meet",K8="Did Not Meet"),MIN(N8,X8,Z8),IF(AND('3. Getting Started'!B$6="",E8="Did Not Meet",G8="Did Not Meet",I8="Did Not Meet",K8="Did Not Meet"),MIN(N8,W8,X8,Y8,Z8),IF(AND('3. Getting Started'!B$6="",E8="",G8="Did Not Meet",I8="",K8="Did Not Meet"),MIN(N8,X8,Z8),0)))))</f>
        <v>0</v>
      </c>
      <c r="P8" s="345"/>
      <c r="Q8" s="345"/>
      <c r="R8" s="485"/>
      <c r="S8" s="485"/>
      <c r="T8" s="485"/>
      <c r="U8" s="485"/>
      <c r="V8" s="307" t="s">
        <v>135</v>
      </c>
      <c r="W8" s="309">
        <f>IF(E8="Did Not Meet",'6. 15-16 MOE'!$B$11,0)</f>
        <v>0</v>
      </c>
      <c r="X8" s="309">
        <f>IF(G8="Did Not Meet",'6. 15-16 MOE'!$F$11,0)</f>
        <v>0</v>
      </c>
      <c r="Y8" s="309">
        <f>IF(I8="Did Not Meet",('6. 15-16 MOE'!$J$11*C8),0)</f>
        <v>0</v>
      </c>
      <c r="Z8" s="309">
        <f>IF(K8="Did Not Meet",('6. 15-16 MOE'!$N$11*C8),0)</f>
        <v>0</v>
      </c>
    </row>
    <row r="9" spans="1:26" ht="46.9" customHeight="1" x14ac:dyDescent="0.25">
      <c r="A9" s="132" t="s">
        <v>124</v>
      </c>
      <c r="B9" s="201" t="str">
        <f>IF('9. 16-17 MOE'!$B$1="Eligibility","Eligibility (Budget)",IF('9. 16-17 MOE'!$B$1="Compliance","Compliance (Expenditures)",""))</f>
        <v>Compliance (Expenditures)</v>
      </c>
      <c r="C9" s="408" t="str">
        <f>IF(AND('9. 16-17 MOE'!$B$1="Eligibility",'8. 16-17 Amounts'!$B$1&gt;0),'8. 16-17 Amounts'!$B$1,IF(AND('9. 16-17 MOE'!$B$1="Compliance",'8. 16-17 Amounts'!$I$1&gt;0),'8. 16-17 Amounts'!$I$1,""))</f>
        <v/>
      </c>
      <c r="D9" s="137" t="str">
        <f>IF('9. 16-17 MOE'!$B$1="Eligibility",'8. 16-17 Amounts'!$D$30,IF('9. 16-17 MOE'!$B$1="Compliance",'8. 16-17 Amounts'!$K$30))</f>
        <v/>
      </c>
      <c r="E9" s="138" t="str">
        <f>IF('9. 16-17 MOE'!$C$6="","",IF('9. 16-17 MOE'!$C$6="Met","Met",IF('9. 16-17 MOE'!$C$9="Met","Met with Exceptions or Adjustments",IF('9. 16-17 MOE'!$C$11="Met","Met with Exceptions or Adjustments","Did Not Meet"))))</f>
        <v/>
      </c>
      <c r="F9" s="137" t="str">
        <f>IF('9. 16-17 MOE'!$B$1="Eligibility",'8. 16-17 Amounts'!$F$30,IF('9. 16-17 MOE'!$B$1="Compliance",'8. 16-17 Amounts'!$M$30))</f>
        <v/>
      </c>
      <c r="G9" s="138" t="str">
        <f>IF('9. 16-17 MOE'!$G$6="","",IF('9. 16-17 MOE'!$G$6="Met","Met",IF('9. 16-17 MOE'!$G$9="Met","Met with Exceptions or Adjustments",IF('9. 16-17 MOE'!$G$11="Met","Met with Exceptions or Adjustments","Did Not Meet"))))</f>
        <v/>
      </c>
      <c r="H9" s="137" t="str">
        <f>IF('9. 16-17 MOE'!$B$1="Eligibility",'8. 16-17 Amounts'!$D$31,IF('9. 16-17 MOE'!$B$1="Compliance",'8. 16-17 Amounts'!$K$31))</f>
        <v/>
      </c>
      <c r="I9" s="138" t="str">
        <f>IF('9. 16-17 MOE'!$K$6="","",IF('9. 16-17 MOE'!$K$6="Met","Met",IF('9. 16-17 MOE'!$K$9="Met","Met with Exceptions or Adjustments",IF('9. 16-17 MOE'!$K$11="Met","Met with Exceptions or Adjustments","Did Not Meet"))))</f>
        <v/>
      </c>
      <c r="J9" s="137" t="str">
        <f>IF('9. 16-17 MOE'!$B$1="Eligibility",'8. 16-17 Amounts'!$F$31,IF('9. 16-17 MOE'!$B$1="Compliance",'8. 16-17 Amounts'!$M$31))</f>
        <v/>
      </c>
      <c r="K9" s="138" t="str">
        <f>IF('9. 16-17 MOE'!$O$6="","",IF('9. 16-17 MOE'!$O$6="Met","Met",IF('9. 16-17 MOE'!$O$9="Met","Met with Exceptions or Adjustments",IF('9. 16-17 MOE'!$O$11="Met","Met with Exceptions or Adjustments","Did Not Meet"))))</f>
        <v/>
      </c>
      <c r="L9" s="301">
        <v>0</v>
      </c>
      <c r="M9" s="293">
        <v>0</v>
      </c>
      <c r="N9" s="296">
        <f t="shared" si="1"/>
        <v>0</v>
      </c>
      <c r="O9" s="294">
        <f>IF('9. 16-17 MOE'!$B$1="Eligibility",0,IF(AND('3. Getting Started'!B6="Yes",E9="Did Not Meet",G9="Did Not Meet",I9="Did Not Meet",K9="Did Not Meet"),MIN(N9,W9,X9,Y9,Z9),IF(AND('3. Getting Started'!B6="No",G9="Did Not Meet",K9="Did Not Meet"),MIN(N9,X9,Z9),IF(AND('3. Getting Started'!B6="",E9="Did Not Meet",G9="Did Not Meet",I9="Did Not Meet",K9="Did Not Meet"),MIN(N9,W9,X9,Y9,Z9),IF(AND('3. Getting Started'!B6="",E9="",G9="Did Not Meet",I9="",K9="Did Not Meet"),MIN(N9,X9,Z9),0)))))</f>
        <v>0</v>
      </c>
      <c r="P9" s="290"/>
      <c r="Q9" s="290"/>
      <c r="R9" s="485"/>
      <c r="S9" s="485"/>
      <c r="T9" s="485"/>
      <c r="U9" s="485"/>
      <c r="V9" s="308" t="s">
        <v>136</v>
      </c>
      <c r="W9" s="309">
        <f>IF(E9="Did Not Meet",'9. 16-17 MOE'!$B$11,0)</f>
        <v>0</v>
      </c>
      <c r="X9" s="309">
        <f>IF(G9="Did Not Meet",'9. 16-17 MOE'!$F$11,0)</f>
        <v>0</v>
      </c>
      <c r="Y9" s="309">
        <f>IF(I9="Did Not Meet",('9. 16-17 MOE'!$J$11*C9),0)</f>
        <v>0</v>
      </c>
      <c r="Z9" s="309">
        <f>IF(K9="Did Not Meet",('9. 16-17 MOE'!$N$11*C9),0)</f>
        <v>0</v>
      </c>
    </row>
    <row r="10" spans="1:26" ht="46.9" customHeight="1" x14ac:dyDescent="0.25">
      <c r="A10" s="312" t="s">
        <v>146</v>
      </c>
      <c r="B10" s="201" t="str">
        <f>IF('12. 17-18 MOE'!$B$1="Eligibility","Eligibility (Budget)",IF('12. 17-18 MOE'!$B$1="Compliance","Compliance (Expenditures)",""))</f>
        <v>Compliance (Expenditures)</v>
      </c>
      <c r="C10" s="408" t="str">
        <f>IF(AND('12. 17-18 MOE'!$B$1="Eligibility",'11. 17-18 Amounts'!$B$1&gt;0),'11. 17-18 Amounts'!$B$1,IF(AND('12. 17-18 MOE'!$B$1="Compliance",'11. 17-18 Amounts'!$I$1&gt;0),'11. 17-18 Amounts'!$I$1,""))</f>
        <v/>
      </c>
      <c r="D10" s="137" t="str">
        <f>IF('12. 17-18 MOE'!$B$1="Eligibility",'11. 17-18 Amounts'!$D$30,IF('12. 17-18 MOE'!$B$1="Compliance",'11. 17-18 Amounts'!$K$30))</f>
        <v/>
      </c>
      <c r="E10" s="138" t="str">
        <f>IF('12. 17-18 MOE'!$C$6="","",IF('12. 17-18 MOE'!$C$6="Met","Met",IF('12. 17-18 MOE'!$C$9="Met","Met with Exceptions or Adjustments",IF('12. 17-18 MOE'!$C$11="Met","Met with Exceptions or Adjustments","Did Not Meet"))))</f>
        <v/>
      </c>
      <c r="F10" s="137" t="str">
        <f>IF('12. 17-18 MOE'!$B$1="Eligibility",'11. 17-18 Amounts'!$F$30,IF('12. 17-18 MOE'!$B$1="Compliance",'11. 17-18 Amounts'!$M$30))</f>
        <v/>
      </c>
      <c r="G10" s="138" t="str">
        <f>IF('12. 17-18 MOE'!$G$6="","",IF('12. 17-18 MOE'!$G$6="Met","Met",IF('12. 17-18 MOE'!$G$9="Met","Met with Exceptions or Adjustments",IF('12. 17-18 MOE'!$G$11="Met","Met with Exceptions or Adjustments","Did Not Meet"))))</f>
        <v/>
      </c>
      <c r="H10" s="137" t="str">
        <f>IF('12. 17-18 MOE'!$B$1="Eligibility",'11. 17-18 Amounts'!$D$31,IF('12. 17-18 MOE'!$B$1="Compliance",'11. 17-18 Amounts'!$K$31))</f>
        <v/>
      </c>
      <c r="I10" s="138" t="str">
        <f>IF('12. 17-18 MOE'!$K$6="","",IF('12. 17-18 MOE'!$K$6="Met","Met",IF('12. 17-18 MOE'!$K$9="Met","Met with Exceptions or Adjustments",IF('12. 17-18 MOE'!$K$11="Met","Met with Exceptions or Adjustments","Did Not Meet"))))</f>
        <v/>
      </c>
      <c r="J10" s="137" t="str">
        <f>IF('12. 17-18 MOE'!$B$1="Eligibility",'11. 17-18 Amounts'!$F$31,IF('12. 17-18 MOE'!$B$1="Compliance",'11. 17-18 Amounts'!$M$31))</f>
        <v/>
      </c>
      <c r="K10" s="138" t="str">
        <f>IF('12. 17-18 MOE'!$O$6="","",IF('12. 17-18 MOE'!$O$6="Met","Met",IF('12. 17-18 MOE'!$O$9="Met","Met with Exceptions or Adjustments",IF('12. 17-18 MOE'!$O$11="Met","Met with Exceptions or Adjustments","Did Not Meet"))))</f>
        <v/>
      </c>
      <c r="L10" s="313">
        <v>0</v>
      </c>
      <c r="M10" s="314">
        <v>0</v>
      </c>
      <c r="N10" s="296">
        <f t="shared" si="1"/>
        <v>0</v>
      </c>
      <c r="O10" s="294">
        <f>IF('12. 17-18 MOE'!$B$1="Eligibility",0,IF(AND('3. Getting Started'!B6="Yes",E10="Did Not Meet",G10="Did Not Meet",I10="Did Not Meet",K10="Did Not Meet"),MIN(N10,W10,X10,Y10,Z10),IF(AND('3. Getting Started'!B6="No",G10="Did Not Meet",K10="Did Not Meet"),MIN(N10,X10,Z10),IF(AND('3. Getting Started'!B6="",E10="Did Not Meet",G10="Did Not Meet",I10="Did Not Meet",K10="Did Not Meet"),MIN(N10,W10,X10,Y10,Z10),IF(AND('3. Getting Started'!B6="",E10="",G10="Did Not Meet",I10="",K10="Did Not Meet"),MIN(N10,X10,Z10),0)))))</f>
        <v>0</v>
      </c>
      <c r="P10" s="290"/>
      <c r="Q10" s="290"/>
      <c r="R10" s="485"/>
      <c r="S10" s="485"/>
      <c r="T10" s="485"/>
      <c r="U10" s="485"/>
      <c r="V10" s="308" t="s">
        <v>137</v>
      </c>
      <c r="W10" s="309">
        <f>IF(E10="Did Not Meet",'12. 17-18 MOE'!$B$11,0)</f>
        <v>0</v>
      </c>
      <c r="X10" s="309">
        <f>IF(G10="Did Not Meet",'12. 17-18 MOE'!$F$11,0)</f>
        <v>0</v>
      </c>
      <c r="Y10" s="309">
        <f>IF(I10="Did Not Meet",('12. 17-18 MOE'!$J$11*C10),0)</f>
        <v>0</v>
      </c>
      <c r="Z10" s="309">
        <f>IF(K10="Did Not Meet",('12. 17-18 MOE'!$N$11*C10),0)</f>
        <v>0</v>
      </c>
    </row>
    <row r="11" spans="1:26" ht="46.9" customHeight="1" x14ac:dyDescent="0.25">
      <c r="A11" s="315" t="s">
        <v>147</v>
      </c>
      <c r="B11" s="201" t="str">
        <f>IF('15. 18-19 MOE'!$B$1="Eligibility","Eligibility (Budget)",IF('15. 18-19 MOE'!$B$1="Compliance","Compliance (Expenditures)",""))</f>
        <v>Eligibility (Budget)</v>
      </c>
      <c r="C11" s="408" t="str">
        <f>IF(AND('15. 18-19 MOE'!$B$1="Eligibility",'14. 18-19 Amounts'!$B$1&gt;0),'14. 18-19 Amounts'!$B$1,IF(AND('15. 18-19 MOE'!$B$1="Compliance",'14. 18-19 Amounts'!$I$1&gt;0),'14. 18-19 Amounts'!$I$1,""))</f>
        <v/>
      </c>
      <c r="D11" s="137" t="str">
        <f>IF('15. 18-19 MOE'!$B$1="Eligibility",'14. 18-19 Amounts'!$D$30,IF('15. 18-19 MOE'!$B$1="Compliance",'14. 18-19 Amounts'!$K$30))</f>
        <v/>
      </c>
      <c r="E11" s="138" t="str">
        <f>IF('15. 18-19 MOE'!$C$6="","",IF('15. 18-19 MOE'!$C$6="Met","Met",IF('15. 18-19 MOE'!$C$9="Met","Met with Exceptions or Adjustments",IF('15. 18-19 MOE'!$C$11="Met","Met with Exceptions or Adjustments","Did Not Meet"))))</f>
        <v/>
      </c>
      <c r="F11" s="137" t="str">
        <f>IF('15. 18-19 MOE'!$B$1="Eligibility",'14. 18-19 Amounts'!$F$30,IF('15. 18-19 MOE'!$B$1="Compliance",'14. 18-19 Amounts'!$M$30))</f>
        <v/>
      </c>
      <c r="G11" s="138" t="str">
        <f>IF('15. 18-19 MOE'!$G$6="","",IF('15. 18-19 MOE'!$G$6="Met","Met",IF('15. 18-19 MOE'!$G$9="Met","Met with Exceptions or Adjustments",IF('15. 18-19 MOE'!$G$11="Met","Met with Exceptions or Adjustments","Did Not Meet"))))</f>
        <v/>
      </c>
      <c r="H11" s="137" t="str">
        <f>IF('15. 18-19 MOE'!$B$1="Eligibility",'14. 18-19 Amounts'!$D$31,IF('15. 18-19 MOE'!$B$1="Compliance",'14. 18-19 Amounts'!$K$31))</f>
        <v/>
      </c>
      <c r="I11" s="138" t="str">
        <f>IF('15. 18-19 MOE'!$K$6="","",IF('15. 18-19 MOE'!$K$6="Met","Met",IF('15. 18-19 MOE'!$K$9="Met","Met with Exceptions or Adjustments",IF('15. 18-19 MOE'!$K$11="Met","Met with Exceptions or Adjustments","Did Not Meet"))))</f>
        <v/>
      </c>
      <c r="J11" s="137" t="str">
        <f>IF('15. 18-19 MOE'!$B$1="Eligibility",'14. 18-19 Amounts'!$F$31,IF('15. 18-19 MOE'!$B$1="Compliance",'14. 18-19 Amounts'!$M$31))</f>
        <v/>
      </c>
      <c r="K11" s="138" t="str">
        <f>IF('15. 18-19 MOE'!$O$6="","",IF('15. 18-19 MOE'!$O$6="Met","Met",IF('15. 18-19 MOE'!$O$9="Met","Met with Exceptions or Adjustments",IF('15. 18-19 MOE'!$O$11="Met","Met with Exceptions or Adjustments","Did Not Meet"))))</f>
        <v/>
      </c>
      <c r="L11" s="316">
        <v>0</v>
      </c>
      <c r="M11" s="293">
        <v>0</v>
      </c>
      <c r="N11" s="296">
        <f t="shared" si="1"/>
        <v>0</v>
      </c>
      <c r="O11" s="294">
        <f>IF('15. 18-19 MOE'!$B$1="Eligibility",0,IF(AND('3. Getting Started'!B6="Yes",E11="Did Not Meet",G11="Did Not Meet",I11="Did Not Meet",K11="Did Not Meet"),MIN(N11,W11,X11,Y11,Z11),IF(AND('3. Getting Started'!B6="No",G11="Did Not Meet",K11="Did Not Meet"),MIN(N11,X11,Z11),IF(AND('3. Getting Started'!B6="",E11="Did Not Meet",G11="Did Not Meet",I11="Did Not Meet",K11="Did Not Meet"),MIN(N11,W11,X11,Y11,Z11),IF(AND('3. Getting Started'!B6="",E11="",G11="Did Not Meet",I11="",K11="Did Not Meet"),MIN(N11,X11,Z11),0)))))</f>
        <v>0</v>
      </c>
      <c r="P11" s="290"/>
      <c r="Q11" s="290"/>
      <c r="R11" s="485"/>
      <c r="S11" s="485"/>
      <c r="T11" s="485"/>
      <c r="U11" s="485"/>
      <c r="V11" s="308" t="s">
        <v>138</v>
      </c>
      <c r="W11" s="309">
        <f>IF(E11="Did Not Meet",'15. 18-19 MOE'!$B$11,0)</f>
        <v>0</v>
      </c>
      <c r="X11" s="309">
        <f>IF(G11="Did Not Meet",'15. 18-19 MOE'!$F$11,0)</f>
        <v>0</v>
      </c>
      <c r="Y11" s="309">
        <f>IF(I11="Did Not Meet",('15. 18-19 MOE'!$J$11*C11),0)</f>
        <v>0</v>
      </c>
      <c r="Z11" s="309">
        <f>IF(K11="Did Not Meet",('15. 18-19 MOE'!$N$11*C11),0)</f>
        <v>0</v>
      </c>
    </row>
    <row r="12" spans="1:26" ht="46.9" customHeight="1" x14ac:dyDescent="0.25">
      <c r="A12" s="315" t="s">
        <v>148</v>
      </c>
      <c r="B12" s="201" t="str">
        <f>IF('18. 19-20 MOE'!$B$1="Eligibility","Eligibility (Budget)",IF('18. 19-20 MOE'!$B$1="Compliance","Compliance (Expenditures)",""))</f>
        <v>Eligibility (Budget)</v>
      </c>
      <c r="C12" s="408" t="str">
        <f>IF(AND('18. 19-20 MOE'!$B$1="Eligibility",'17. 19-20 Amounts'!$B$1&gt;0),'17. 19-20 Amounts'!$B$1,IF(AND('18. 19-20 MOE'!$B$1="Compliance",'17. 19-20 Amounts'!$I$1&gt;0),'17. 19-20 Amounts'!$I$1,""))</f>
        <v/>
      </c>
      <c r="D12" s="137" t="str">
        <f>IF('18. 19-20 MOE'!$B$1="Eligibility",'17. 19-20 Amounts'!$D$30,IF('18. 19-20 MOE'!$B$1="Compliance",'17. 19-20 Amounts'!$K$30))</f>
        <v/>
      </c>
      <c r="E12" s="138" t="str">
        <f>IF('18. 19-20 MOE'!$C$6="","",IF('18. 19-20 MOE'!$C$6="Met","Met",IF('18. 19-20 MOE'!$C$9="Met","Met with Exceptions or Adjustments",IF('18. 19-20 MOE'!$C$11="Met","Met with Exceptions or Adjustments","Did Not Meet"))))</f>
        <v/>
      </c>
      <c r="F12" s="137" t="str">
        <f>IF('18. 19-20 MOE'!$B$1="Eligibility",'17. 19-20 Amounts'!$F$30,IF('18. 19-20 MOE'!$B$1="Compliance",'17. 19-20 Amounts'!$M$30))</f>
        <v/>
      </c>
      <c r="G12" s="138" t="str">
        <f>IF('18. 19-20 MOE'!$G$6="","",IF('18. 19-20 MOE'!$G$6="Met","Met",IF('18. 19-20 MOE'!$G$9="Met","Met with Exceptions or Adjustments",IF('18. 19-20 MOE'!$G$11="Met","Met with Exceptions or Adjustments","Did Not Meet"))))</f>
        <v/>
      </c>
      <c r="H12" s="137" t="str">
        <f>IF('18. 19-20 MOE'!$B$1="Eligibility",'17. 19-20 Amounts'!$D$31,IF('18. 19-20 MOE'!$B$1="Compliance",'17. 19-20 Amounts'!$K$31))</f>
        <v/>
      </c>
      <c r="I12" s="138" t="str">
        <f>IF('18. 19-20 MOE'!$K$6="","",IF('18. 19-20 MOE'!$K$6="Met","Met",IF('18. 19-20 MOE'!$K$9="Met","Met with Exceptions or Adjustments",IF('18. 19-20 MOE'!$K$11="Met","Met with Exceptions or Adjustments","Did Not Meet"))))</f>
        <v/>
      </c>
      <c r="J12" s="137" t="str">
        <f>IF('18. 19-20 MOE'!$B$1="Eligibility",'17. 19-20 Amounts'!$F$31,IF('18. 19-20 MOE'!$B$1="Compliance",'17. 19-20 Amounts'!$M$31))</f>
        <v/>
      </c>
      <c r="K12" s="138" t="str">
        <f>IF('18. 19-20 MOE'!$O$6="","",IF('18. 19-20 MOE'!$O$6="Met","Met",IF('18. 19-20 MOE'!$O$9="Met","Met with Exceptions or Adjustments",IF('18. 19-20 MOE'!$O$11="Met","Met with Exceptions or Adjustments","Did Not Meet"))))</f>
        <v/>
      </c>
      <c r="L12" s="316">
        <v>0</v>
      </c>
      <c r="M12" s="293">
        <v>0</v>
      </c>
      <c r="N12" s="296">
        <f t="shared" si="1"/>
        <v>0</v>
      </c>
      <c r="O12" s="294">
        <f>IF('18. 19-20 MOE'!$B$1="Eligibility",0,IF(AND('3. Getting Started'!B6="Yes",E12="Did Not Meet",G12="Did Not Meet",I12="Did Not Meet",K12="Did Not Meet"),MIN(N12,W12,X12,Y12,Z12),IF(AND('3. Getting Started'!B6="No",G12="Did Not Meet",K12="Did Not Meet"),MIN(N12,X12,Z12),IF(AND('3. Getting Started'!B6="",E12="Did Not Meet",G12="Did Not Meet",I12="Did Not Meet",K12="Did Not Meet"),MIN(N12,W12,X12,Y12,Z12),IF(AND('3. Getting Started'!B6="",E12="",G12="Did Not Meet",I12="",K12="Did Not Meet"),MIN(N12,X12,Z12),0)))))</f>
        <v>0</v>
      </c>
      <c r="P12" s="34"/>
      <c r="Q12" s="317"/>
      <c r="R12" s="485"/>
      <c r="S12" s="485"/>
      <c r="T12" s="485"/>
      <c r="U12" s="485"/>
      <c r="V12" s="308" t="s">
        <v>139</v>
      </c>
      <c r="W12" s="309">
        <f>IF(E12="Did Not Meet",'18. 19-20 MOE'!$B$11,0)</f>
        <v>0</v>
      </c>
      <c r="X12" s="309">
        <f>IF(G12="Did Not Meet",'18. 19-20 MOE'!$F$11,0)</f>
        <v>0</v>
      </c>
      <c r="Y12" s="309">
        <f>IF(I12="Did Not Meet",('18. 19-20 MOE'!$J$11*C12),0)</f>
        <v>0</v>
      </c>
      <c r="Z12" s="309">
        <f>IF(K12="Did Not Meet",('18. 19-20 MOE'!$N$11*C12),0)</f>
        <v>0</v>
      </c>
    </row>
    <row r="13" spans="1:26" x14ac:dyDescent="0.25">
      <c r="A13" s="422"/>
      <c r="B13" s="428" t="s">
        <v>258</v>
      </c>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row>
    <row r="14" spans="1:26" s="434" customFormat="1" ht="12" x14ac:dyDescent="0.2">
      <c r="A14" s="433"/>
      <c r="B14" s="429" t="s">
        <v>252</v>
      </c>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row>
    <row r="15" spans="1:26" x14ac:dyDescent="0.25">
      <c r="A15" s="485" t="s">
        <v>221</v>
      </c>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row>
    <row r="16" spans="1:26" hidden="1" x14ac:dyDescent="0.25">
      <c r="P16" s="18"/>
    </row>
  </sheetData>
  <sheetProtection algorithmName="SHA-512" hashValue="IFHQfmk5ohjPjeFM6gtwvqFCOrsnUDiGMSShFUcnMmFwKWdHEqFSg5vJ9zJjyoyQuQ/Y5yWLGoe0mBrUjEuOyg==" saltValue="YlsGhbjniBIbRv1dn+OAzg==" spinCount="100000" sheet="1" objects="1" scenarios="1" formatColumns="0" formatRows="0"/>
  <mergeCells count="3">
    <mergeCell ref="R1:U12"/>
    <mergeCell ref="V1:Z5"/>
    <mergeCell ref="A15:Z15"/>
  </mergeCells>
  <conditionalFormatting sqref="I3:I12">
    <cfRule type="containsText" dxfId="2381" priority="2" operator="containsText" text="Did Not Meet">
      <formula>NOT(ISERROR(SEARCH("Did Not Meet",I3)))</formula>
    </cfRule>
    <cfRule type="containsText" dxfId="2380" priority="4" operator="containsText" text="Met">
      <formula>NOT(ISERROR(SEARCH("Met",I3)))</formula>
    </cfRule>
  </conditionalFormatting>
  <conditionalFormatting sqref="K3:K12">
    <cfRule type="containsText" dxfId="2379" priority="5" operator="containsText" text="Did Not Meet">
      <formula>NOT(ISERROR(SEARCH("Did Not Meet",K3)))</formula>
    </cfRule>
    <cfRule type="containsText" dxfId="2378" priority="7" operator="containsText" text="Met">
      <formula>NOT(ISERROR(SEARCH("Met",K3)))</formula>
    </cfRule>
  </conditionalFormatting>
  <conditionalFormatting sqref="G3:G12">
    <cfRule type="containsText" dxfId="2377" priority="8" operator="containsText" text="Did Not Meet">
      <formula>NOT(ISERROR(SEARCH("Did Not Meet",G3)))</formula>
    </cfRule>
    <cfRule type="containsText" dxfId="2376" priority="9" operator="containsText" text="Met">
      <formula>NOT(ISERROR(SEARCH("Met",G3)))</formula>
    </cfRule>
  </conditionalFormatting>
  <conditionalFormatting sqref="E3:E12">
    <cfRule type="containsText" dxfId="2375" priority="21" operator="containsText" text="Did Not Meet">
      <formula>NOT(ISERROR(SEARCH("Did Not Meet",E3)))</formula>
    </cfRule>
    <cfRule type="containsText" dxfId="2374" priority="23" operator="containsText" text="Met">
      <formula>NOT(ISERROR(SEARCH("Met",E3)))</formula>
    </cfRule>
  </conditionalFormatting>
  <dataValidations count="1">
    <dataValidation type="date" allowBlank="1" showInputMessage="1" showErrorMessage="1" sqref="P8:Q9">
      <formula1>40909</formula1>
      <formula2>47848</formula2>
    </dataValidation>
  </dataValidations>
  <hyperlinks>
    <hyperlink ref="B14" r:id="rId1" display="http://cifr.wested.org/resources/lea-moe/calculator/"/>
  </hyperlinks>
  <pageMargins left="0.75" right="0.75" top="1" bottom="1" header="0.5" footer="0.5"/>
  <pageSetup orientation="portrait" horizontalDpi="4294967292" verticalDpi="4294967292" r:id="rId2"/>
  <ignoredErrors>
    <ignoredError sqref="H4 H7" calculatedColumn="1"/>
  </ignoredErrors>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FB15BFD8-DAE0-4B6C-874C-4EF3C1668241}">
            <xm:f>'3. Getting Started'!$B$6="No"</xm:f>
            <x14:dxf>
              <font>
                <color theme="1"/>
              </font>
              <fill>
                <patternFill>
                  <bgColor theme="1"/>
                </patternFill>
              </fill>
            </x14:dxf>
          </x14:cfRule>
          <xm:sqref>D3:E12 H3:I12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Lists!$A$2:$A$5</xm:f>
          </x14:formula1>
          <xm:sqref>I4:I7 G4:G7 E4:E7 K4:K7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autoPageBreaks="0"/>
  </sheetPr>
  <dimension ref="A1:M35"/>
  <sheetViews>
    <sheetView tabSelected="1" topLeftCell="D1" workbookViewId="0">
      <pane ySplit="4" topLeftCell="A5" activePane="bottomLeft" state="frozen"/>
      <selection pane="bottomLeft" activeCell="H4" sqref="H4"/>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211" t="s">
        <v>205</v>
      </c>
      <c r="B1" s="215"/>
      <c r="D1" s="467" t="s">
        <v>254</v>
      </c>
      <c r="E1" s="3" t="str">
        <f>IF('3. Getting Started'!B2="","",'3. Getting Started'!B2)</f>
        <v/>
      </c>
      <c r="G1" s="486" t="s">
        <v>219</v>
      </c>
      <c r="H1" s="211" t="s">
        <v>204</v>
      </c>
      <c r="I1" s="214"/>
      <c r="K1" s="467" t="s">
        <v>254</v>
      </c>
      <c r="L1" s="3" t="str">
        <f>IF('3. Getting Started'!B2="","",'3. Getting Started'!B2)</f>
        <v/>
      </c>
    </row>
    <row r="2" spans="1:13" s="4" customFormat="1" ht="37.9" customHeight="1" thickBot="1" x14ac:dyDescent="0.3">
      <c r="A2" s="364" t="s">
        <v>207</v>
      </c>
      <c r="B2" s="11"/>
      <c r="C2" s="11"/>
      <c r="D2" s="11"/>
      <c r="E2" s="11"/>
      <c r="F2" s="365"/>
      <c r="G2" s="486"/>
      <c r="H2" s="364" t="s">
        <v>208</v>
      </c>
      <c r="I2" s="11"/>
      <c r="J2" s="11"/>
      <c r="K2" s="11"/>
      <c r="L2" s="11"/>
      <c r="M2" s="365"/>
    </row>
    <row r="3" spans="1:13" s="4" customFormat="1" ht="24" customHeight="1" x14ac:dyDescent="0.25">
      <c r="A3" s="206"/>
      <c r="B3" s="363"/>
      <c r="D3" s="12" t="s">
        <v>126</v>
      </c>
      <c r="E3" s="13"/>
      <c r="F3" s="371"/>
      <c r="G3" s="486"/>
      <c r="H3" s="206"/>
      <c r="I3" s="363"/>
      <c r="J3" s="25"/>
      <c r="K3" s="12" t="s">
        <v>127</v>
      </c>
      <c r="L3" s="13"/>
      <c r="M3" s="372"/>
    </row>
    <row r="4" spans="1:13" s="5" customFormat="1" ht="18.75" x14ac:dyDescent="0.3">
      <c r="A4" s="358" t="s">
        <v>3</v>
      </c>
      <c r="B4" s="359" t="s">
        <v>190</v>
      </c>
      <c r="C4" s="360" t="s">
        <v>189</v>
      </c>
      <c r="D4" s="28" t="s">
        <v>5</v>
      </c>
      <c r="E4" s="28" t="s">
        <v>6</v>
      </c>
      <c r="F4" s="28" t="s">
        <v>7</v>
      </c>
      <c r="G4" s="486"/>
      <c r="H4" s="358" t="s">
        <v>3</v>
      </c>
      <c r="I4" s="359" t="s">
        <v>4</v>
      </c>
      <c r="J4" s="360" t="s">
        <v>189</v>
      </c>
      <c r="K4" s="28" t="s">
        <v>5</v>
      </c>
      <c r="L4" s="28" t="s">
        <v>6</v>
      </c>
      <c r="M4" s="28"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 customFormat="1" ht="18.75" x14ac:dyDescent="0.2">
      <c r="A32" s="428" t="s">
        <v>258</v>
      </c>
      <c r="B32" s="423"/>
      <c r="C32" s="423"/>
      <c r="D32" s="423"/>
      <c r="E32" s="423"/>
      <c r="F32" s="423"/>
      <c r="G32" s="423"/>
      <c r="H32" s="423"/>
      <c r="I32" s="423"/>
      <c r="J32" s="423"/>
      <c r="K32" s="423"/>
      <c r="L32" s="423"/>
      <c r="M32" s="423"/>
    </row>
    <row r="33" spans="1:13" s="432" customFormat="1" ht="12" x14ac:dyDescent="0.2">
      <c r="A33" s="430" t="s">
        <v>252</v>
      </c>
      <c r="B33" s="431"/>
      <c r="C33" s="431"/>
      <c r="D33" s="431"/>
      <c r="E33" s="431"/>
      <c r="F33" s="431"/>
      <c r="G33" s="431"/>
      <c r="H33" s="431"/>
      <c r="I33" s="431"/>
      <c r="J33" s="431"/>
      <c r="K33" s="431"/>
      <c r="L33" s="431"/>
      <c r="M33" s="431"/>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o9BW88FYAp6bKc0seHpWBlhpkbFyU2/PgGw2O9sQPk3dFjt9B5nrimzoruvf5QzbYArj81GQCQzjdx6Pph9CIA==" saltValue="9/V90Jjxv2jbZ4hsha9bYw==" spinCount="100000" sheet="1" objects="1" scenarios="1" formatColumns="0" formatRows="0"/>
  <mergeCells count="2">
    <mergeCell ref="G1:G31"/>
    <mergeCell ref="A34:M34"/>
  </mergeCells>
  <hyperlinks>
    <hyperlink ref="A33" r:id="rId1" display="http://cifr.wested.org/resources/lea-moe/calculator/"/>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84982A52-926C-4710-A5D8-04A4E746D7F1}">
            <xm:f>'3. Getting Started'!$B$6="No"</xm:f>
            <x14:dxf>
              <fill>
                <patternFill>
                  <bgColor theme="1"/>
                </patternFill>
              </fill>
            </x14:dxf>
          </x14:cfRule>
          <xm:sqref>D5:D31 K5:K31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autoPageBreaks="0"/>
  </sheetPr>
  <dimension ref="A1:P76"/>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109</v>
      </c>
      <c r="D1" s="218" t="s">
        <v>57</v>
      </c>
      <c r="G1" s="286" t="s">
        <v>254</v>
      </c>
      <c r="H1" s="219"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Summary'!$E$3:$E$6,1),'4. Multi-Year MOE Summary'!$A$3:$A$6),IF($B$1="Compliance",LOOKUP(2,1/SEARCH("Met",'4. Multi-Year MOE Summary'!$E$3:$E$7,1),'4. Multi-Year MOE Summary'!$A$3:$A$7),""))</f>
        <v>2010-2011</v>
      </c>
      <c r="C4" s="234"/>
      <c r="E4" s="232" t="s">
        <v>54</v>
      </c>
      <c r="F4" s="233" t="str">
        <f>IF($B$1="Eligibility",LOOKUP(2,1/SEARCH("Met",'4. Multi-Year MOE Summary'!$G$3:$G$6,1),'4. Multi-Year MOE Summary'!$A$3:$A$6),IF($B$1="Compliance",LOOKUP(2,1/SEARCH("Met",'4. Multi-Year MOE Summary'!$G$3:$G$7,1),'4. Multi-Year MOE Summary'!$A$3:$A$7),""))</f>
        <v>2010-2011</v>
      </c>
      <c r="G4" s="234"/>
      <c r="I4" s="235" t="s">
        <v>54</v>
      </c>
      <c r="J4" s="233" t="str">
        <f>IF($B$1="Eligibility",LOOKUP(2,1/SEARCH("Met",'4. Multi-Year MOE Summary'!$I$3:$I$6,1),'4. Multi-Year MOE Summary'!$A$3:$A$6),IF($B$1="Compliance",LOOKUP(2,1/SEARCH("Met",'4. Multi-Year MOE Summary'!$I$3:$I$7,1),'4. Multi-Year MOE Summary'!$A$3:$A$7),""))</f>
        <v>2010-2011</v>
      </c>
      <c r="K4" s="236"/>
      <c r="M4" s="235" t="s">
        <v>54</v>
      </c>
      <c r="N4" s="233" t="str">
        <f>IF($B$1="Eligibility",LOOKUP(2,1/SEARCH("Met",'4. Multi-Year MOE Summary'!$K$3:$K$6,1),'4. Multi-Year MOE Summary'!$A$3:$A$6),IF($B$1="Compliance",LOOKUP(2,1/SEARCH("Met",'4. Multi-Year MOE Summary'!$K$3:$K$7,1),'4. Multi-Year MOE Summary'!$A$3:$A$7),""))</f>
        <v>2010-2011</v>
      </c>
      <c r="O4" s="236"/>
    </row>
    <row r="5" spans="1:16" x14ac:dyDescent="0.25">
      <c r="A5" s="232" t="s">
        <v>20</v>
      </c>
      <c r="B5" s="233">
        <f ca="1">IF($B$1="Eligibility",LOOKUP(B4,'4. Multi-Year MOE Summary'!$A$3:$A$6,'4. Multi-Year MOE Summary'!$D$3:$D$6),IF($B$1="Compliance",LOOKUP(B4,'4. Multi-Year MOE Summary'!$A$3:$A$7,'4. Multi-Year MOE Summary'!$D$3:$D$8)))</f>
        <v>0</v>
      </c>
      <c r="C5" s="237"/>
      <c r="E5" s="232" t="s">
        <v>20</v>
      </c>
      <c r="F5" s="233">
        <f>IF($B$1="Eligibility",LOOKUP(F4,'4. Multi-Year MOE Summary'!$A$3:$A$6,'4. Multi-Year MOE Summary'!$F$3:$F$6),IF($B$1="Compliance",LOOKUP(F4,'4. Multi-Year MOE Summary'!$A$3:$A$7,'4. Multi-Year MOE Summary'!$F$3:$F$7)))</f>
        <v>0</v>
      </c>
      <c r="G5" s="237"/>
      <c r="H5" s="220"/>
      <c r="I5" s="235" t="s">
        <v>20</v>
      </c>
      <c r="J5" s="233" t="str">
        <f>IF($B$1="Eligibility",LOOKUP(J4,'4. Multi-Year MOE Summary'!$A$3:$A$6,'4. Multi-Year MOE Summary'!$H$3:$H$6),IF($B$1="Compliance",LOOKUP(J4,'4. Multi-Year MOE Summary'!$A$3:$A$7,'4. Multi-Year MOE Summary'!$H$3:$H$7)))</f>
        <v/>
      </c>
      <c r="K5" s="238"/>
      <c r="M5" s="235" t="s">
        <v>20</v>
      </c>
      <c r="N5" s="233" t="str">
        <f>IF($B$1="Eligibility",LOOKUP(N4,'4. Multi-Year MOE Summary'!$A$3:$A$7,'4. Multi-Year MOE Summary'!$J$3:$J$7),IF($B$1="Compliance",LOOKUP(N4,'4. Multi-Year MOE Summary'!$A$3:$A$8,'4. Multi-Year MOE Summary'!$J$3:$J$8)))</f>
        <v/>
      </c>
      <c r="O5" s="238"/>
    </row>
    <row r="6" spans="1:16" x14ac:dyDescent="0.25">
      <c r="A6" s="232" t="s">
        <v>128</v>
      </c>
      <c r="B6" s="239" t="str">
        <f>IF($B$1="Eligibility",'5. 15-16 Amounts'!D30,'5. 15-16 Amounts'!K30)</f>
        <v/>
      </c>
      <c r="C6" s="240" t="str">
        <f>IF(B6="","",IF(B6&gt;=B5,"Met","Did Not Meet"))</f>
        <v/>
      </c>
      <c r="D6" s="241" t="str">
        <f>IF(C6="","",IF(C6="Met","You have met MOE.","Add exception information."))</f>
        <v/>
      </c>
      <c r="E6" s="232" t="s">
        <v>128</v>
      </c>
      <c r="F6" s="239" t="str">
        <f>IF($B$1="Eligibility",'5. 15-16 Amounts'!F30,'5. 15-16 Amounts'!M30)</f>
        <v/>
      </c>
      <c r="G6" s="240" t="str">
        <f>IF(F6="","",IF(F6&gt;=F5,"Met","Did Not Meet"))</f>
        <v/>
      </c>
      <c r="H6" s="241" t="str">
        <f>IF(G6="","",IF(G6="Met","You have met MOE.","Add exception information."))</f>
        <v/>
      </c>
      <c r="I6" s="232" t="s">
        <v>128</v>
      </c>
      <c r="J6" s="239" t="str">
        <f>IF($B$1="Eligibility",'5. 15-16 Amounts'!D31,'5. 15-16 Amounts'!K31)</f>
        <v/>
      </c>
      <c r="K6" s="240" t="str">
        <f>IF(J6="","",IF(J6&gt;=J5,"Met","Did Not Meet"))</f>
        <v/>
      </c>
      <c r="L6" s="241" t="str">
        <f>IF(K6="","",IF(K6="Met","You have met MOE.","Add exception information."))</f>
        <v/>
      </c>
      <c r="M6" s="232" t="s">
        <v>128</v>
      </c>
      <c r="N6" s="239" t="str">
        <f>IF($B$1="Eligibility",'5. 15-16 Amounts'!F31,'5. 15-16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t="str">
        <f>IF(K6="","",IF(K6="Met",0,(J5-J6)))</f>
        <v/>
      </c>
      <c r="K7" s="237"/>
      <c r="M7" s="232" t="s">
        <v>201</v>
      </c>
      <c r="N7" s="233" t="str">
        <f>IF(O6="","",IF(O6="Met",0,(N5-N6)))</f>
        <v/>
      </c>
      <c r="O7" s="237"/>
    </row>
    <row r="8" spans="1:16" x14ac:dyDescent="0.25">
      <c r="A8" s="232" t="s">
        <v>45</v>
      </c>
      <c r="B8" s="233">
        <f>IF(C6="Met","NA",B61)</f>
        <v>0</v>
      </c>
      <c r="C8" s="240"/>
      <c r="D8" s="220"/>
      <c r="E8" s="232" t="s">
        <v>45</v>
      </c>
      <c r="F8" s="233">
        <f>IF(G6="Met","NA",F61)</f>
        <v>0</v>
      </c>
      <c r="G8" s="240"/>
      <c r="H8" s="220"/>
      <c r="I8" s="232" t="s">
        <v>45</v>
      </c>
      <c r="J8" s="233" t="str">
        <f>IF(K6="","",IF(K6="Met","NA",J62))</f>
        <v/>
      </c>
      <c r="K8" s="240"/>
      <c r="M8" s="232" t="s">
        <v>45</v>
      </c>
      <c r="N8" s="233" t="str">
        <f>IF(O6="","",IF(O6="Met","NA",N62))</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t="str">
        <f>IF(K6="","",IF(K6="Met",0,(J7-J8)))</f>
        <v/>
      </c>
      <c r="K9" s="240" t="str">
        <f>IF(K6="","",IF(K6="Met","",IF(J9&lt;=0,"Met","Did Not Meet")))</f>
        <v/>
      </c>
      <c r="L9" s="242" t="str">
        <f>IF(K6="","",IF(K6="Met","Exceptions not needed.",IF(K9="Met","MOE met using exceptions.","Add adjustment information.")))</f>
        <v/>
      </c>
      <c r="M9" s="232" t="s">
        <v>202</v>
      </c>
      <c r="N9" s="233" t="str">
        <f>IF(O6="","",IF(O6="Met",0,(N7-N8)))</f>
        <v/>
      </c>
      <c r="O9" s="240" t="str">
        <f>IF(O6="","",IF(O6="Met","",IF(N9&lt;=0,"Met","Did Not Meet")))</f>
        <v/>
      </c>
      <c r="P9" s="242" t="str">
        <f>IF(O6="","",IF(O6="Met","Exceptions not needed.",IF(O9="Met","MOE met using exceptions.","Add adjustment information.")))</f>
        <v/>
      </c>
    </row>
    <row r="10" spans="1:16" x14ac:dyDescent="0.25">
      <c r="A10" s="232" t="s">
        <v>46</v>
      </c>
      <c r="B10" s="233">
        <f>IF(C6="Met","NA",IF(C9="Met","NA",B71))</f>
        <v>0</v>
      </c>
      <c r="C10" s="240"/>
      <c r="D10" s="242"/>
      <c r="E10" s="232" t="s">
        <v>46</v>
      </c>
      <c r="F10" s="233">
        <f>IF(G6="Met","NA",IF(G9="Met","NA",F71))</f>
        <v>0</v>
      </c>
      <c r="G10" s="240"/>
      <c r="H10" s="242"/>
      <c r="I10" s="232" t="s">
        <v>46</v>
      </c>
      <c r="J10" s="233" t="str">
        <f>IF(K6="Met","NA",IF(K9="Met","NA",J73))</f>
        <v/>
      </c>
      <c r="K10" s="240"/>
      <c r="L10" s="242"/>
      <c r="M10" s="232" t="s">
        <v>46</v>
      </c>
      <c r="N10" s="233" t="str">
        <f>IF(O6="Met","NA",IF(O9="Met","NA",N73))</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t="str">
        <f>IF(K6="","",IF(K6="Met",0,IF(K9="Met",0,(J9-J10))))</f>
        <v/>
      </c>
      <c r="K11" s="240" t="str">
        <f>IF(K6="","",IF(K6="Met","",IF(K9="Met","",IF(J11&lt;=0,"Met","Did Not Meet"))))</f>
        <v/>
      </c>
      <c r="L11" s="245" t="str">
        <f>IF(K6="","",IF(K6="Met","Adjustment not needed.",IF(K9="Met","Adjustment not needed.",IF(K11="Met","MOE met using exceptions &amp; adjustment.","Use another method."))))</f>
        <v/>
      </c>
      <c r="M11" s="243" t="s">
        <v>203</v>
      </c>
      <c r="N11" s="244" t="str">
        <f>IF(O6="","",IF(O6="Met",0,IF(O9="Met",0,(N9-N10))))</f>
        <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1" t="s">
        <v>219</v>
      </c>
      <c r="B12" s="491"/>
      <c r="C12" s="491"/>
      <c r="E12" s="491" t="s">
        <v>219</v>
      </c>
      <c r="F12" s="491"/>
      <c r="G12" s="491"/>
      <c r="I12" s="491" t="s">
        <v>219</v>
      </c>
      <c r="J12" s="491"/>
      <c r="K12" s="491"/>
      <c r="M12" s="491" t="s">
        <v>219</v>
      </c>
      <c r="N12" s="491"/>
      <c r="O12" s="491"/>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81" t="s">
        <v>74</v>
      </c>
      <c r="F16" s="255" t="s">
        <v>75</v>
      </c>
      <c r="G16" s="252"/>
      <c r="H16" s="256"/>
      <c r="I16" s="281" t="s">
        <v>74</v>
      </c>
      <c r="J16" s="255" t="s">
        <v>75</v>
      </c>
      <c r="K16" s="252"/>
      <c r="L16" s="256"/>
      <c r="M16" s="281" t="s">
        <v>74</v>
      </c>
      <c r="N16" s="255" t="s">
        <v>75</v>
      </c>
      <c r="O16" s="252"/>
      <c r="P16" s="256"/>
    </row>
    <row r="17" spans="1:16" x14ac:dyDescent="0.25">
      <c r="A17" s="388" t="str">
        <f>IF($C$6="Met","","2015-16 Total")</f>
        <v>2015-16 Total</v>
      </c>
      <c r="B17" s="258">
        <f>IF(A17="","",IF($B$1="Eligibility",IF('7. 15-16 Exc &amp; Adj'!$F$21&lt;0,0,'7. 15-16 Exc &amp; Adj'!$F$21),IF($B$1="Compliance",IF('7. 15-16 Exc &amp; Adj'!$M$21&lt;0,0,'7. 15-16 Exc &amp; Adj'!$M$21))))</f>
        <v>0</v>
      </c>
      <c r="C17" s="252"/>
      <c r="D17" s="256"/>
      <c r="E17" s="388" t="str">
        <f>IF(G$6="Met","","2015-16 Total")</f>
        <v>2015-16 Total</v>
      </c>
      <c r="F17" s="258">
        <f>IF(E17="","",IF($B$1="Eligibility",IF('7. 15-16 Exc &amp; Adj'!$F$21&lt;0,0,'7. 15-16 Exc &amp; Adj'!$F$21),IF($B$1="Compliance",IF('7. 15-16 Exc &amp; Adj'!$M$21&lt;0,0,'7. 15-16 Exc &amp; Adj'!$M$21))))</f>
        <v>0</v>
      </c>
      <c r="G17" s="252"/>
      <c r="H17" s="256"/>
      <c r="I17" s="388" t="str">
        <f>IF($K$6="Met","","2015-16 Total")</f>
        <v>2015-16 Total</v>
      </c>
      <c r="J17" s="258">
        <f>IF(I17="","",IF($B$1="Eligibility",IF('7. 15-16 Exc &amp; Adj'!$F$21&lt;0,0,'7. 15-16 Exc &amp; Adj'!$F$21),IF($B$1="Compliance",IF('7. 15-16 Exc &amp; Adj'!$M$21&lt;0,0,'7. 15-16 Exc &amp; Adj'!$M$21))))</f>
        <v>0</v>
      </c>
      <c r="K17" s="252"/>
      <c r="L17" s="256"/>
      <c r="M17" s="388" t="str">
        <f>IF($O$6="Met","","2015-16 Total")</f>
        <v>2015-16 Total</v>
      </c>
      <c r="N17" s="258">
        <f>IF(M17="","",IF($B$1="Eligibility",IF('7. 15-16 Exc &amp; Adj'!$F$21&lt;0,0,'7. 15-16 Exc &amp; Adj'!$F$21),IF($B$1="Compliance",IF('7. 15-16 Exc &amp; Adj'!$M$21&lt;0,0,'7. 15-16 Exc &amp; Adj'!$M$21))))</f>
        <v>0</v>
      </c>
      <c r="O17" s="252"/>
      <c r="P17" s="256"/>
    </row>
    <row r="18" spans="1:16" x14ac:dyDescent="0.25">
      <c r="A18" s="388" t="str">
        <f>IF(C$6="Met","",IF(B$4="2014-2015","","2014-15 Total"))</f>
        <v>2014-15 Total</v>
      </c>
      <c r="B18" s="258">
        <f>IF(A18="","",IF('23. 14-15 Exc &amp; Adj'!F20&lt;0,0,'23. 14-15 Exc &amp; Adj'!F20))</f>
        <v>0</v>
      </c>
      <c r="C18" s="252"/>
      <c r="D18" s="256"/>
      <c r="E18" s="388" t="str">
        <f>IF(G$6="Met","",IF(F$4="2014-2015","","2014-15 Total"))</f>
        <v>2014-15 Total</v>
      </c>
      <c r="F18" s="258">
        <f>IF(E18="","",IF('23. 14-15 Exc &amp; Adj'!F20&lt;0,0,'23. 14-15 Exc &amp; Adj'!F20))</f>
        <v>0</v>
      </c>
      <c r="G18" s="252"/>
      <c r="H18" s="256"/>
      <c r="I18" s="388" t="str">
        <f>IF(K$6="Met","",IF(J$4="2014-2015","","2014-15 Total"))</f>
        <v>2014-15 Total</v>
      </c>
      <c r="J18" s="258">
        <f>IF(I18="","",IF('23. 14-15 Exc &amp; Adj'!F20&lt;0,0,'23. 14-15 Exc &amp; Adj'!F20))</f>
        <v>0</v>
      </c>
      <c r="K18" s="252"/>
      <c r="L18" s="256"/>
      <c r="M18" s="388" t="str">
        <f>IF(O$6="Met","",IF(N$4="2014-2015","","2014-15 Total"))</f>
        <v>2014-15 Total</v>
      </c>
      <c r="N18" s="258">
        <f>IF(M18="","",IF('23. 14-15 Exc &amp; Adj'!F20&lt;0,0,'23. 14-15 Exc &amp; Adj'!F20))</f>
        <v>0</v>
      </c>
      <c r="O18" s="252"/>
      <c r="P18" s="256"/>
    </row>
    <row r="19" spans="1:16" x14ac:dyDescent="0.25">
      <c r="A19" s="288" t="str">
        <f>IF(C$6="Met","",IF(OR(B$4="2014-2015",B$4="2013-2014"),"","2013-14 Total"))</f>
        <v>2013-14 Total</v>
      </c>
      <c r="B19" s="258">
        <f>IF(A19="","",IF('22. 13-14 Exc &amp; Adj'!F20&lt;0,0,'22. 13-14 Exc &amp; Adj'!F20))</f>
        <v>0</v>
      </c>
      <c r="C19" s="252"/>
      <c r="D19" s="256"/>
      <c r="E19" s="288" t="str">
        <f>IF(G$6="Met","",IF(OR(F$4="2014-2015",F$4="2013-2014"),"","2013-14 Total"))</f>
        <v>2013-14 Total</v>
      </c>
      <c r="F19" s="258">
        <f>IF(E19="","",IF('22. 13-14 Exc &amp; Adj'!F20&lt;0,0,'22. 13-14 Exc &amp; Adj'!F20))</f>
        <v>0</v>
      </c>
      <c r="G19" s="252"/>
      <c r="H19" s="256"/>
      <c r="I19" s="288" t="str">
        <f>IF(K$6="Met","",IF(OR(J$4="2014-2015",J$4="2013-2014"),"","2013-14 Total"))</f>
        <v>2013-14 Total</v>
      </c>
      <c r="J19" s="258">
        <f>IF(I19="","",IF('22. 13-14 Exc &amp; Adj'!F20&lt;0,0,'22. 13-14 Exc &amp; Adj'!F20))</f>
        <v>0</v>
      </c>
      <c r="K19" s="252"/>
      <c r="L19" s="256"/>
      <c r="M19" s="288" t="str">
        <f>IF(O$6="Met","",IF(OR(N$4="2014-2015",N$4="2013-2014"),"","2013-14 Total"))</f>
        <v>2013-14 Total</v>
      </c>
      <c r="N19" s="258">
        <f>IF(M19="","",IF('22. 13-14 Exc &amp; Adj'!F20&lt;0,0,'22. 13-14 Exc &amp; Adj'!F20))</f>
        <v>0</v>
      </c>
      <c r="O19" s="252"/>
      <c r="P19" s="256"/>
    </row>
    <row r="20" spans="1:16" x14ac:dyDescent="0.25">
      <c r="A20" s="389" t="str">
        <f>IF(C$6="Met","",IF(OR(B$4="2014-2015",B$4="2013-2014",B$4="2012-2013"),"","2012-13 Total"))</f>
        <v>2012-13 Total</v>
      </c>
      <c r="B20" s="261">
        <f>IF(A20="","",IF('21. 12-13 Exc &amp; Adj'!F20&lt;0,0,'21. 12-13 Exc &amp; Adj'!F20))</f>
        <v>0</v>
      </c>
      <c r="C20" s="252"/>
      <c r="D20" s="256"/>
      <c r="E20" s="389" t="str">
        <f>IF(G$6="Met","",IF(OR(F$4="2014-2015",F$4="2013-2014",F$4="2012-2013"),"","2012-13 Total"))</f>
        <v>2012-13 Total</v>
      </c>
      <c r="F20" s="261">
        <f>IF(E20="","",IF('21. 12-13 Exc &amp; Adj'!F20&lt;0,0,'21. 12-13 Exc &amp; Adj'!F20))</f>
        <v>0</v>
      </c>
      <c r="G20" s="252"/>
      <c r="H20" s="256"/>
      <c r="I20" s="389" t="str">
        <f>IF(K$6="Met","",IF(OR(J$4="2014-2015",J$4="2013-2014",J$4="2012-2013"),"","2012-13 Total"))</f>
        <v>2012-13 Total</v>
      </c>
      <c r="J20" s="261">
        <f>IF(I20="","",IF('21. 12-13 Exc &amp; Adj'!F20&lt;0,0,'21. 12-13 Exc &amp; Adj'!F20))</f>
        <v>0</v>
      </c>
      <c r="K20" s="252"/>
      <c r="L20" s="256"/>
      <c r="M20" s="389" t="str">
        <f>IF(O$6="Met","",IF(OR(N$4="2014-2015",N$4="2013-2014",N$4="2012-2013"),"","2012-13 Total"))</f>
        <v>2012-13 Total</v>
      </c>
      <c r="N20" s="261">
        <f>IF(M20="","",IF('21. 12-13 Exc &amp; Adj'!F20&lt;0,0,'21. 12-13 Exc &amp; Adj'!F20))</f>
        <v>0</v>
      </c>
      <c r="O20" s="252"/>
      <c r="P20" s="256"/>
    </row>
    <row r="21" spans="1:16" x14ac:dyDescent="0.25">
      <c r="A21" s="389" t="str">
        <f>IF(C$6="Met","",IF(OR(B$4="2014-2015",B$4="2013-2014",B$4="2012-2013",B$4="2011-2012"),"","2011-12 Total"))</f>
        <v>2011-12 Total</v>
      </c>
      <c r="B21" s="261">
        <f>IF(A21="","",IF('20. 11-12 Exc &amp; Adj'!F20&lt;0,0,'20. 11-12 Exc &amp; Adj'!F20))</f>
        <v>0</v>
      </c>
      <c r="C21" s="252"/>
      <c r="D21" s="220"/>
      <c r="E21" s="389" t="str">
        <f>IF(G$6="Met","",IF(OR(F$4="2014-2015",F$4="2013-2014",F$4="2012-2013",F$4="2011-2012"),"","2011-12 Total"))</f>
        <v>2011-12 Total</v>
      </c>
      <c r="F21" s="261">
        <f>IF(E21="","",IF('20. 11-12 Exc &amp; Adj'!F20&lt;0,0,'20. 11-12 Exc &amp; Adj'!F20))</f>
        <v>0</v>
      </c>
      <c r="G21" s="252"/>
      <c r="H21" s="220"/>
      <c r="I21" s="389" t="str">
        <f>IF(K$6="Met","",IF(OR(J$4="2014-2015",J$4="2013-2014",J$4="2012-2013",J$4="2011-2012"),"","2011-12 Total"))</f>
        <v>2011-12 Total</v>
      </c>
      <c r="J21" s="261">
        <f>IF(I21="","",IF('20. 11-12 Exc &amp; Adj'!F20&lt;0,0,'20. 11-12 Exc &amp; Adj'!F20))</f>
        <v>0</v>
      </c>
      <c r="K21" s="252"/>
      <c r="M21" s="389" t="str">
        <f>IF(O$6="Met","",IF(OR(N$4="2014-2015",N$4="2013-2014",N$4="2012-2013",N$4="2011-2012"),"","2011-12 Total"))</f>
        <v>2011-12 Total</v>
      </c>
      <c r="N21" s="261">
        <f>IF(M21="","",IF('20. 11-12 Exc &amp; Adj'!F20&lt;0,0,'20. 11-12 Exc &amp; Adj'!F20))</f>
        <v>0</v>
      </c>
      <c r="O21" s="252"/>
      <c r="P21" s="256"/>
    </row>
    <row r="22" spans="1:16" x14ac:dyDescent="0.25">
      <c r="A22" s="488" t="s">
        <v>219</v>
      </c>
      <c r="B22" s="489"/>
      <c r="C22" s="252"/>
      <c r="D22" s="220"/>
      <c r="E22" s="488" t="s">
        <v>219</v>
      </c>
      <c r="F22" s="489"/>
      <c r="G22" s="252"/>
      <c r="H22" s="220"/>
      <c r="I22" s="488" t="s">
        <v>219</v>
      </c>
      <c r="J22" s="489"/>
      <c r="K22" s="252"/>
      <c r="M22" s="488" t="s">
        <v>219</v>
      </c>
      <c r="N22" s="489"/>
      <c r="O22" s="252"/>
      <c r="P22" s="256"/>
    </row>
    <row r="23" spans="1:16" x14ac:dyDescent="0.25">
      <c r="A23" s="262" t="s">
        <v>13</v>
      </c>
      <c r="B23" s="263"/>
      <c r="C23" s="252"/>
      <c r="E23" s="262" t="s">
        <v>13</v>
      </c>
      <c r="F23" s="263"/>
      <c r="G23" s="252"/>
      <c r="I23" s="262" t="s">
        <v>13</v>
      </c>
      <c r="J23" s="263"/>
      <c r="K23" s="264"/>
      <c r="L23" s="219"/>
      <c r="M23" s="262" t="s">
        <v>13</v>
      </c>
      <c r="N23" s="263"/>
      <c r="O23" s="264"/>
    </row>
    <row r="24" spans="1:16" x14ac:dyDescent="0.25">
      <c r="A24" s="281" t="s">
        <v>74</v>
      </c>
      <c r="B24" s="255" t="s">
        <v>75</v>
      </c>
      <c r="C24" s="264"/>
      <c r="D24" s="265"/>
      <c r="E24" s="281" t="s">
        <v>74</v>
      </c>
      <c r="F24" s="255" t="s">
        <v>75</v>
      </c>
      <c r="G24" s="264"/>
      <c r="H24" s="265"/>
      <c r="I24" s="281" t="s">
        <v>74</v>
      </c>
      <c r="J24" s="255" t="s">
        <v>75</v>
      </c>
      <c r="K24" s="264"/>
      <c r="L24" s="265"/>
      <c r="M24" s="281" t="s">
        <v>74</v>
      </c>
      <c r="N24" s="255" t="s">
        <v>75</v>
      </c>
      <c r="O24" s="264"/>
      <c r="P24" s="219"/>
    </row>
    <row r="25" spans="1:16" x14ac:dyDescent="0.25">
      <c r="A25" s="388" t="str">
        <f>IF($C$6="Met","","2015-16 Total")</f>
        <v>2015-16 Total</v>
      </c>
      <c r="B25" s="258">
        <f>IF(A25="","",IF(AND($B$1="Eligibility",'7. 15-16 Exc &amp; Adj'!$B$31=""),0,IF(AND($B$1="Eligibility",'7. 15-16 Exc &amp; Adj'!$B$31&gt;=0),"",IF(AND($B$1="Eligibility",'3. Getting Started'!$B$7="No"),'7. 15-16 Exc &amp; Adj'!$B$25,IF(AND($B$1="Eligibility",OR('3. Getting Started'!$B$7="Yes",'3. Getting Started'!$B$7="")),'7. 15-16 Exc &amp; Adj'!$B$35,IF(AND($B$1="Compliance",'7. 15-16 Exc &amp; Adj'!$I$31=""),0,IF(AND($B$1="Compliance",'7. 15-16 Exc &amp; Adj'!$I$31&gt;=0),"",IF(AND($B$1="Compliance",'3. Getting Started'!$B$7="No"),'7. 15-16 Exc &amp; Adj'!$I$25,IF(AND($B$1="Compliance",OR('3. Getting Started'!$B$7="Yes",'3. Getting Started'!$B$7="")),'7. 15-16 Exc &amp; Adj'!$I$35)))))))))</f>
        <v>0</v>
      </c>
      <c r="C25" s="264"/>
      <c r="D25" s="220"/>
      <c r="E25" s="388" t="str">
        <f>IF($G$6="Met","","2015-16 Total")</f>
        <v>2015-16 Total</v>
      </c>
      <c r="F25" s="258">
        <f>IF(E25="","",IF(AND($B$1="Eligibility",'7. 15-16 Exc &amp; Adj'!$B$31=""),0,IF(AND($B$1="Eligibility",'7. 15-16 Exc &amp; Adj'!$B$31&gt;=0),"",IF(AND($B$1="Eligibility",'3. Getting Started'!$B$7="No"),'7. 15-16 Exc &amp; Adj'!$C$25,IF(AND($B$1="Eligibility",OR('3. Getting Started'!$B$7="Yes",'3. Getting Started'!$B$7="")),'7. 15-16 Exc &amp; Adj'!$C$35,IF(AND($B$1="Compliance",'7. 15-16 Exc &amp; Adj'!$I$31=""),0,IF(AND($B$1="Compliance",'7. 15-16 Exc &amp; Adj'!$I$31&gt;=0),"",IF(AND($B$1="Compliance",'3. Getting Started'!$B$7="No"),'7. 15-16 Exc &amp; Adj'!$J$25,IF(AND($B$1="Compliance",OR('3. Getting Started'!$B$7="Yes",'3. Getting Started'!$B$7="")),'7. 15-16 Exc &amp; Adj'!$J$35)))))))))</f>
        <v>0</v>
      </c>
      <c r="G25" s="264"/>
      <c r="H25" s="220"/>
      <c r="I25" s="388" t="str">
        <f>IF($K$6="Met","","2015-16 Total")</f>
        <v>2015-16 Total</v>
      </c>
      <c r="J25" s="258">
        <f>IF(I25="","",IF(AND($B$1="Eligibility",'7. 15-16 Exc &amp; Adj'!$B$31=""),0,IF(AND($B$1="Eligibility",'7. 15-16 Exc &amp; Adj'!$B$31&gt;=0),"",IF(AND($B$1="Eligibility",'3. Getting Started'!$B$7="No"),'7. 15-16 Exc &amp; Adj'!$D$25,IF(AND($B$1="Eligibility",OR('3. Getting Started'!$B$7="Yes",'3. Getting Started'!$B$7="")),'7. 15-16 Exc &amp; Adj'!$B$35,IF(AND($B$1="Compliance",'7. 15-16 Exc &amp; Adj'!$I$31=""),0,IF(AND($B$1="Compliance",'7. 15-16 Exc &amp; Adj'!$I$31&gt;=0),"",IF(AND($B$1="Compliance",'3. Getting Started'!$B$7="No"),'7. 15-16 Exc &amp; Adj'!$K$25,IF(AND($B$1="Compliance",OR('3. Getting Started'!$B$7="Yes",'3. Getting Started'!$B$7="")),'7. 15-16 Exc &amp; Adj'!$I$35)))))))))</f>
        <v>0</v>
      </c>
      <c r="K25" s="264"/>
      <c r="M25" s="388" t="str">
        <f>IF(O$6="Met","","2015-16 Total")</f>
        <v>2015-16 Total</v>
      </c>
      <c r="N25" s="258">
        <f>IF(M25="","",IF(AND($B$1="Eligibility",'7. 15-16 Exc &amp; Adj'!$B$31=""),0,IF(AND($B$1="Eligibility",'7. 15-16 Exc &amp; Adj'!$B$31&gt;=0),"",IF(AND($B$1="Eligibility",'3. Getting Started'!$B$7="No"),'7. 15-16 Exc &amp; Adj'!$E$25,IF(AND($B$1="Eligibility",OR('3. Getting Started'!$B$7="Yes",'3. Getting Started'!$B$7="")),'7. 15-16 Exc &amp; Adj'!$C$35,IF(AND($B$1="Compliance",'7. 15-16 Exc &amp; Adj'!$I$31=""),0,IF(AND($B$1="Compliance",'7. 15-16 Exc &amp; Adj'!$I$31&gt;=0),"",IF(AND($B$1="Compliance",'3. Getting Started'!$B$7="No"),'7. 15-16 Exc &amp; Adj'!$L$25,IF(AND($B$1="Compliance",OR('3. Getting Started'!$B$7="Yes",'3. Getting Started'!$B$7="")),'7. 15-16 Exc &amp; Adj'!$J$35)))))))))</f>
        <v>0</v>
      </c>
      <c r="O25" s="264"/>
    </row>
    <row r="26" spans="1:16" x14ac:dyDescent="0.25">
      <c r="A26" s="388" t="str">
        <f>IF(C$6="Met","",IF(B$4="2014-2015","","2014-15 Total"))</f>
        <v>2014-15 Total</v>
      </c>
      <c r="B26" s="258">
        <f>IF(A26="","",IF('23. 14-15 Exc &amp; Adj'!$B$30="",0,(IF('23. 14-15 Exc &amp; Adj'!$B$30&gt;=0,"",IF('3. Getting Started'!$B$7="No",'23. 14-15 Exc &amp; Adj'!B$24,'23. 14-15 Exc &amp; Adj'!B$34)))))</f>
        <v>0</v>
      </c>
      <c r="C26" s="264"/>
      <c r="D26" s="220"/>
      <c r="E26" s="388" t="str">
        <f>IF(G$6="Met","",IF(F$4="2014-2015","","2014-15 Total"))</f>
        <v>2014-15 Total</v>
      </c>
      <c r="F26" s="258">
        <f>IF(E26="","",IF('23. 14-15 Exc &amp; Adj'!$B$30="",0,(IF('23. 14-15 Exc &amp; Adj'!$B$30&gt;=0,"",IF('3. Getting Started'!$B$7="No",'23. 14-15 Exc &amp; Adj'!C$24,'23. 14-15 Exc &amp; Adj'!C$34)))))</f>
        <v>0</v>
      </c>
      <c r="G26" s="264"/>
      <c r="H26" s="220"/>
      <c r="I26" s="388" t="str">
        <f>IF(K$6="Met","",IF(J$4="2014-2015","","2014-15 Total"))</f>
        <v>2014-15 Total</v>
      </c>
      <c r="J26" s="258">
        <f>IF(I26="","",IF('23. 14-15 Exc &amp; Adj'!$B$30="",0,(IF('23. 14-15 Exc &amp; Adj'!$B$30&gt;=0,"",IF('3. Getting Started'!$B$7="No",'23. 14-15 Exc &amp; Adj'!D$24,'23. 14-15 Exc &amp; Adj'!B$34)))))</f>
        <v>0</v>
      </c>
      <c r="K26" s="264"/>
      <c r="M26" s="388" t="str">
        <f>IF(O$6="Met","",IF(N$4="2014-2015","","2014-15 Total"))</f>
        <v>2014-15 Total</v>
      </c>
      <c r="N26" s="258">
        <f>IF(M26="","",IF('23. 14-15 Exc &amp; Adj'!$B$30="",0,(IF('23. 14-15 Exc &amp; Adj'!$B$30&gt;=0,"",IF('3. Getting Started'!$B$7="No",'23. 14-15 Exc &amp; Adj'!E$24,'23. 14-15 Exc &amp; Adj'!C$34)))))</f>
        <v>0</v>
      </c>
      <c r="O26" s="264"/>
    </row>
    <row r="27" spans="1:16" x14ac:dyDescent="0.25">
      <c r="A27" s="288" t="str">
        <f>IF(C$6="Met","",IF(OR(B$4="2014-2015",B$4="2013-2014"),"","2013-14 Total"))</f>
        <v>2013-14 Total</v>
      </c>
      <c r="B27" s="258">
        <f>IF(A27="","",IF('22. 13-14 Exc &amp; Adj'!$B$30="",0,IF('22. 13-14 Exc &amp; Adj'!$B$30&gt;=0,"",IF('3. Getting Started'!$B$7="No",'22. 13-14 Exc &amp; Adj'!$B$24,'22. 13-14 Exc &amp; Adj'!$B$34))))</f>
        <v>0</v>
      </c>
      <c r="C27" s="264"/>
      <c r="D27" s="265"/>
      <c r="E27" s="288" t="str">
        <f>IF(G$6="Met","",IF(OR(F$4="2014-2015",F$4="2013-2014"),"","2013-14 Total"))</f>
        <v>2013-14 Total</v>
      </c>
      <c r="F27" s="258">
        <f>IF(E27="","",IF('22. 13-14 Exc &amp; Adj'!$B$30="",0,IF('22. 13-14 Exc &amp; Adj'!$B$30&gt;=0,"",IF('3. Getting Started'!$B$7="No",'22. 13-14 Exc &amp; Adj'!$C$24,'22. 13-14 Exc &amp; Adj'!$C$34))))</f>
        <v>0</v>
      </c>
      <c r="G27" s="264"/>
      <c r="H27" s="265"/>
      <c r="I27" s="288" t="str">
        <f>IF(K$6="Met","",IF(OR(J$4="2014-2015",J$4="2013-2014"),"","2013-14 Total"))</f>
        <v>2013-14 Total</v>
      </c>
      <c r="J27" s="258">
        <f>IF(I27="","",IF('22. 13-14 Exc &amp; Adj'!$B$30="",0,IF('22. 13-14 Exc &amp; Adj'!$B$30&gt;=0,"",IF('3. Getting Started'!$B$7="No",'22. 13-14 Exc &amp; Adj'!$D$24,'22. 13-14 Exc &amp; Adj'!$B$34))))</f>
        <v>0</v>
      </c>
      <c r="K27" s="264"/>
      <c r="L27" s="265"/>
      <c r="M27" s="288" t="str">
        <f>IF(O$6="Met","",IF(OR(N$4="2014-2015",N$4="2013-2014"),"","2013-14 Total"))</f>
        <v>2013-14 Total</v>
      </c>
      <c r="N27" s="258">
        <f>IF(M27="","",IF('22. 13-14 Exc &amp; Adj'!$B$30="",0,IF('22. 13-14 Exc &amp; Adj'!$B$30&gt;=0,"",IF('3. Getting Started'!$B$7="No",'22. 13-14 Exc &amp; Adj'!$E$24,'22. 13-14 Exc &amp; Adj'!$C$34))))</f>
        <v>0</v>
      </c>
      <c r="O27" s="264"/>
    </row>
    <row r="28" spans="1:16" x14ac:dyDescent="0.25">
      <c r="A28" s="389" t="str">
        <f>IF(C$6="Met","",IF(OR(B$4="2014-2015",B$4="2013-2014",B$4="2012-2013"),"","2012-13 Total"))</f>
        <v>2012-13 Total</v>
      </c>
      <c r="B28" s="261">
        <f>IF(A28="","",IF('21. 12-13 Exc &amp; Adj'!$B$30="",0,IF('21. 12-13 Exc &amp; Adj'!$B$30&gt;=0,"",IF('3. Getting Started'!$B$7="No",'21. 12-13 Exc &amp; Adj'!$B$24,'21. 12-13 Exc &amp; Adj'!$B$34))))</f>
        <v>0</v>
      </c>
      <c r="C28" s="264"/>
      <c r="D28" s="265"/>
      <c r="E28" s="389" t="str">
        <f>IF(G$6="Met","",IF(OR(F$4="2014-2015",F$4="2013-2014",F$4="2012-2013"),"","2012-13 Total"))</f>
        <v>2012-13 Total</v>
      </c>
      <c r="F28" s="261">
        <f>IF(E28="","",IF('21. 12-13 Exc &amp; Adj'!$B$30="",0,IF('21. 12-13 Exc &amp; Adj'!$B$30&gt;=0,"",IF('3. Getting Started'!$B$7="No",'21. 12-13 Exc &amp; Adj'!$C$24,'21. 12-13 Exc &amp; Adj'!$C$34))))</f>
        <v>0</v>
      </c>
      <c r="G28" s="264"/>
      <c r="H28" s="265"/>
      <c r="I28" s="389" t="str">
        <f>IF(K$6="Met","",IF(OR(J$4="2014-2015",J$4="2013-2014",J$4="2012-2013"),"","2012-13 Total"))</f>
        <v>2012-13 Total</v>
      </c>
      <c r="J28" s="261">
        <f>IF(I28="","",IF('21. 12-13 Exc &amp; Adj'!$B$30="",0,IF('21. 12-13 Exc &amp; Adj'!$B$30&gt;=0,"",IF('3. Getting Started'!B7="No",'21. 12-13 Exc &amp; Adj'!D24,'21. 12-13 Exc &amp; Adj'!B34))))</f>
        <v>0</v>
      </c>
      <c r="K28" s="264"/>
      <c r="L28" s="265"/>
      <c r="M28" s="389" t="str">
        <f>IF(O$6="Met","",IF(OR(N$4="2014-2015",N$4="2013-2014",N$4="2012-2013"),"","2012-13 Total"))</f>
        <v>2012-13 Total</v>
      </c>
      <c r="N28" s="261">
        <f>IF(M28="","",IF('21. 12-13 Exc &amp; Adj'!$B$30="",0,IF('21. 12-13 Exc &amp; Adj'!$B$30&gt;=0,"",IF('3. Getting Started'!$B$7="No",'21. 12-13 Exc &amp; Adj'!E24,'21. 12-13 Exc &amp; Adj'!C34))))</f>
        <v>0</v>
      </c>
      <c r="O28" s="264"/>
      <c r="P28" s="265"/>
    </row>
    <row r="29" spans="1:16" x14ac:dyDescent="0.25">
      <c r="A29" s="389" t="str">
        <f>IF(C$6="Met","",IF(OR(B$4="2014-2015",B$4="2013-2014",B$4="2012-2013",B$4="2011-2012"),"","2011-12 Total"))</f>
        <v>2011-12 Total</v>
      </c>
      <c r="B29" s="261">
        <f>IF(A29="","",IF('20. 11-12 Exc &amp; Adj'!$B$30="",0,IF('20. 11-12 Exc &amp; Adj'!$B$30&gt;=0,"",IF('3. Getting Started'!$B$7="No",'20. 11-12 Exc &amp; Adj'!$B$24,'20. 11-12 Exc &amp; Adj'!$B$34))))</f>
        <v>0</v>
      </c>
      <c r="C29" s="264"/>
      <c r="D29" s="265"/>
      <c r="E29" s="389" t="str">
        <f>IF(G$6="Met","",IF(OR(F$4="2014-2015",F$4="2013-2014",F$4="2012-2013",F$4="2011-2012"),"","2011-12 Total"))</f>
        <v>2011-12 Total</v>
      </c>
      <c r="F29" s="261">
        <f>IF(E29="","",IF('20. 11-12 Exc &amp; Adj'!$B$30="",0,IF('20. 11-12 Exc &amp; Adj'!B30&gt;=0,"",IF('3. Getting Started'!B7="No",'20. 11-12 Exc &amp; Adj'!C24,'20. 11-12 Exc &amp; Adj'!C34))))</f>
        <v>0</v>
      </c>
      <c r="G29" s="264"/>
      <c r="H29" s="265"/>
      <c r="I29" s="389" t="str">
        <f>IF(K$6="Met","",IF(OR(J$4="2014-2015",J$4="2013-2014",J$4="2012-2013",J$4="2011-2012"),"","2011-12 Total"))</f>
        <v>2011-12 Total</v>
      </c>
      <c r="J29" s="261">
        <f>IF(I29="","",IF('20. 11-12 Exc &amp; Adj'!$B$30="",0,IF('20. 11-12 Exc &amp; Adj'!$B$30&gt;=0,"",IF('3. Getting Started'!B7="No",'20. 11-12 Exc &amp; Adj'!D24,'20. 11-12 Exc &amp; Adj'!B34))))</f>
        <v>0</v>
      </c>
      <c r="K29" s="264"/>
      <c r="L29" s="265"/>
      <c r="M29" s="389" t="str">
        <f>IF(O$6="Met","",IF(OR(N$4="2014-2015",N$4="2013-2014",N$4="2012-2013",N$4="2011-2012"),"","2011-12 Total"))</f>
        <v>2011-12 Total</v>
      </c>
      <c r="N29" s="261">
        <f>IF(M29="","",IF('20. 11-12 Exc &amp; Adj'!$B$30="",0,IF('20. 11-12 Exc &amp; Adj'!$B$30&gt;=0,"",IF('3. Getting Started'!$B$7="No",'20. 11-12 Exc &amp; Adj'!E24,'20. 11-12 Exc &amp; Adj'!C34))))</f>
        <v>0</v>
      </c>
      <c r="O29" s="264"/>
      <c r="P29" s="265"/>
    </row>
    <row r="30" spans="1:16" x14ac:dyDescent="0.25">
      <c r="A30" s="492" t="s">
        <v>219</v>
      </c>
      <c r="B30" s="493"/>
      <c r="C30" s="264"/>
      <c r="D30" s="265"/>
      <c r="E30" s="488" t="s">
        <v>219</v>
      </c>
      <c r="F30" s="489"/>
      <c r="G30" s="264"/>
      <c r="H30" s="265"/>
      <c r="I30" s="492" t="s">
        <v>219</v>
      </c>
      <c r="J30" s="493"/>
      <c r="K30" s="264"/>
      <c r="L30" s="265"/>
      <c r="M30" s="492" t="s">
        <v>219</v>
      </c>
      <c r="N30" s="493"/>
      <c r="O30" s="264"/>
      <c r="P30" s="265"/>
    </row>
    <row r="31" spans="1:16" x14ac:dyDescent="0.25">
      <c r="A31" s="250" t="s">
        <v>37</v>
      </c>
      <c r="B31" s="263"/>
      <c r="C31" s="264"/>
      <c r="D31" s="256"/>
      <c r="E31" s="250" t="s">
        <v>37</v>
      </c>
      <c r="F31" s="263"/>
      <c r="G31" s="264"/>
      <c r="H31" s="256"/>
      <c r="I31" s="250" t="s">
        <v>37</v>
      </c>
      <c r="J31" s="263"/>
      <c r="K31" s="264"/>
      <c r="L31" s="256"/>
      <c r="M31" s="250" t="s">
        <v>37</v>
      </c>
      <c r="N31" s="263"/>
      <c r="O31" s="264"/>
      <c r="P31" s="265"/>
    </row>
    <row r="32" spans="1:16" x14ac:dyDescent="0.25">
      <c r="A32" s="250" t="s">
        <v>41</v>
      </c>
      <c r="B32" s="263"/>
      <c r="C32" s="264"/>
      <c r="D32" s="256"/>
      <c r="E32" s="250" t="s">
        <v>41</v>
      </c>
      <c r="F32" s="263"/>
      <c r="G32" s="264"/>
      <c r="H32" s="256"/>
      <c r="I32" s="250" t="s">
        <v>41</v>
      </c>
      <c r="J32" s="263"/>
      <c r="K32" s="264"/>
      <c r="L32" s="256"/>
      <c r="M32" s="250" t="s">
        <v>41</v>
      </c>
      <c r="N32" s="263"/>
      <c r="O32" s="264"/>
      <c r="P32" s="256"/>
    </row>
    <row r="33" spans="1:16" x14ac:dyDescent="0.25">
      <c r="A33" s="250" t="s">
        <v>38</v>
      </c>
      <c r="B33" s="263"/>
      <c r="C33" s="264"/>
      <c r="D33" s="256"/>
      <c r="E33" s="250" t="s">
        <v>38</v>
      </c>
      <c r="F33" s="263"/>
      <c r="G33" s="264"/>
      <c r="H33" s="256"/>
      <c r="I33" s="250" t="s">
        <v>38</v>
      </c>
      <c r="J33" s="263"/>
      <c r="K33" s="264"/>
      <c r="L33" s="256"/>
      <c r="M33" s="250" t="s">
        <v>38</v>
      </c>
      <c r="N33" s="263"/>
      <c r="O33" s="264"/>
      <c r="P33" s="256"/>
    </row>
    <row r="34" spans="1:16" x14ac:dyDescent="0.25">
      <c r="A34" s="250" t="s">
        <v>40</v>
      </c>
      <c r="B34" s="263"/>
      <c r="C34" s="264"/>
      <c r="D34" s="256"/>
      <c r="E34" s="250" t="s">
        <v>40</v>
      </c>
      <c r="F34" s="263"/>
      <c r="G34" s="264"/>
      <c r="H34" s="256"/>
      <c r="I34" s="250" t="s">
        <v>40</v>
      </c>
      <c r="J34" s="263"/>
      <c r="K34" s="264"/>
      <c r="L34" s="256"/>
      <c r="M34" s="250" t="s">
        <v>40</v>
      </c>
      <c r="N34" s="263"/>
      <c r="O34" s="264"/>
      <c r="P34" s="256"/>
    </row>
    <row r="35" spans="1:16" x14ac:dyDescent="0.25">
      <c r="A35" s="250" t="s">
        <v>39</v>
      </c>
      <c r="B35" s="263"/>
      <c r="C35" s="264"/>
      <c r="D35" s="256"/>
      <c r="E35" s="250" t="s">
        <v>39</v>
      </c>
      <c r="F35" s="263"/>
      <c r="G35" s="264"/>
      <c r="H35" s="256"/>
      <c r="I35" s="250" t="s">
        <v>39</v>
      </c>
      <c r="J35" s="263"/>
      <c r="K35" s="264"/>
      <c r="L35" s="256"/>
      <c r="M35" s="250" t="s">
        <v>39</v>
      </c>
      <c r="N35" s="263"/>
      <c r="O35" s="264"/>
      <c r="P35" s="256"/>
    </row>
    <row r="36" spans="1:16" x14ac:dyDescent="0.25">
      <c r="A36" s="281" t="s">
        <v>74</v>
      </c>
      <c r="B36" s="266" t="s">
        <v>75</v>
      </c>
      <c r="C36" s="264"/>
      <c r="D36" s="256"/>
      <c r="E36" s="281" t="s">
        <v>74</v>
      </c>
      <c r="F36" s="266" t="s">
        <v>75</v>
      </c>
      <c r="G36" s="264"/>
      <c r="H36" s="256"/>
      <c r="I36" s="281" t="s">
        <v>74</v>
      </c>
      <c r="J36" s="266" t="s">
        <v>75</v>
      </c>
      <c r="K36" s="264"/>
      <c r="L36" s="256"/>
      <c r="M36" s="281" t="s">
        <v>74</v>
      </c>
      <c r="N36" s="266" t="s">
        <v>75</v>
      </c>
      <c r="O36" s="264"/>
      <c r="P36" s="256"/>
    </row>
    <row r="37" spans="1:16" x14ac:dyDescent="0.25">
      <c r="A37" s="283" t="str">
        <f>IF($C$6="Met","","2015-16 Total")</f>
        <v>2015-16 Total</v>
      </c>
      <c r="B37" s="268">
        <f>IF(A37="","",IF($B$1="Eligibility",'7. 15-16 Exc &amp; Adj'!$C$46,IF($B$1="Compliance",'7. 15-16 Exc &amp; Adj'!$J$46)))</f>
        <v>0</v>
      </c>
      <c r="C37" s="264"/>
      <c r="D37" s="256"/>
      <c r="E37" s="283" t="str">
        <f>IF($G$6="Met","","2015-16 Total")</f>
        <v>2015-16 Total</v>
      </c>
      <c r="F37" s="268">
        <f>IF(E37="","",IF($B$1="Eligibility",'7. 15-16 Exc &amp; Adj'!$C$46,IF($B$1="Compliance",'7. 15-16 Exc &amp; Adj'!$J$46)))</f>
        <v>0</v>
      </c>
      <c r="G37" s="264"/>
      <c r="H37" s="256"/>
      <c r="I37" s="283" t="str">
        <f>IF($K$6="Met","","2015-16 Total")</f>
        <v>2015-16 Total</v>
      </c>
      <c r="J37" s="268">
        <f>IF(I37="","",IF($B$1="Eligibility",'7. 15-16 Exc &amp; Adj'!$C$46,IF($B$1="Compliance",'7. 15-16 Exc &amp; Adj'!$J$46)))</f>
        <v>0</v>
      </c>
      <c r="K37" s="264"/>
      <c r="L37" s="256"/>
      <c r="M37" s="283" t="str">
        <f>IF($O$6="Met","","2015-16 Total")</f>
        <v>2015-16 Total</v>
      </c>
      <c r="N37" s="268">
        <f>IF(M37="","",IF($B$1="Eligibility",'7. 15-16 Exc &amp; Adj'!$C$46,IF($B$1="Compliance",'7. 15-16 Exc &amp; Adj'!$J$46)))</f>
        <v>0</v>
      </c>
      <c r="O37" s="264"/>
      <c r="P37" s="256"/>
    </row>
    <row r="38" spans="1:16" x14ac:dyDescent="0.25">
      <c r="A38" s="283" t="str">
        <f>IF(C$6="Met","",IF(B$4="2014-2015","","2014-15 Total"))</f>
        <v>2014-15 Total</v>
      </c>
      <c r="B38" s="268">
        <f>IF(A38="","",'23. 14-15 Exc &amp; Adj'!C45)</f>
        <v>0</v>
      </c>
      <c r="C38" s="264"/>
      <c r="D38" s="256"/>
      <c r="E38" s="283" t="str">
        <f>IF(G$6="Met","",IF(F$4="2014-2015","","2014-15 Total"))</f>
        <v>2014-15 Total</v>
      </c>
      <c r="F38" s="268">
        <f>IF(E38="","",'23. 14-15 Exc &amp; Adj'!C45)</f>
        <v>0</v>
      </c>
      <c r="G38" s="264"/>
      <c r="H38" s="256"/>
      <c r="I38" s="283" t="str">
        <f>IF(K$6="Met","",IF(J$4="2014-2015","","2014-15 Total"))</f>
        <v>2014-15 Total</v>
      </c>
      <c r="J38" s="268">
        <f>IF(I38="","",'23. 14-15 Exc &amp; Adj'!C45)</f>
        <v>0</v>
      </c>
      <c r="K38" s="264"/>
      <c r="L38" s="256"/>
      <c r="M38" s="283" t="str">
        <f>IF(O$6="Met","",IF(N$4="2014-2015","","2014-15 Total"))</f>
        <v>2014-15 Total</v>
      </c>
      <c r="N38" s="268">
        <f>IF(M38="","",'23. 14-15 Exc &amp; Adj'!C45)</f>
        <v>0</v>
      </c>
      <c r="O38" s="264"/>
      <c r="P38" s="256"/>
    </row>
    <row r="39" spans="1:16" x14ac:dyDescent="0.25">
      <c r="A39" s="288" t="str">
        <f>IF(C$6="Met","",IF(OR(B$4="2014-2015",B$4="2013-2014"),"","2013-14 Total"))</f>
        <v>2013-14 Total</v>
      </c>
      <c r="B39" s="268">
        <f>IF(A39="","",'22. 13-14 Exc &amp; Adj'!C45)</f>
        <v>0</v>
      </c>
      <c r="C39" s="264"/>
      <c r="D39" s="256"/>
      <c r="E39" s="288" t="str">
        <f>IF(G$6="Met","",IF(OR(F$4="2014-2015",F$4="2013-2014"),"","2013-14 Total"))</f>
        <v>2013-14 Total</v>
      </c>
      <c r="F39" s="268">
        <f>IF(E39="","",'22. 13-14 Exc &amp; Adj'!C45)</f>
        <v>0</v>
      </c>
      <c r="G39" s="264"/>
      <c r="H39" s="256"/>
      <c r="I39" s="288" t="str">
        <f>IF(K$6="Met","",IF(OR(J$4="2014-2015",J$4="2013-2014"),"","2013-14 Total"))</f>
        <v>2013-14 Total</v>
      </c>
      <c r="J39" s="268">
        <f>IF(I39="","",'22. 13-14 Exc &amp; Adj'!C45)</f>
        <v>0</v>
      </c>
      <c r="K39" s="264"/>
      <c r="L39" s="256"/>
      <c r="M39" s="288" t="str">
        <f>IF(O$6="Met","",IF(OR(N$4="2014-2015",N$4="2013-2014"),"","2013-14 Total"))</f>
        <v>2013-14 Total</v>
      </c>
      <c r="N39" s="268">
        <f>IF(M39="","",'22. 13-14 Exc &amp; Adj'!C45)</f>
        <v>0</v>
      </c>
      <c r="O39" s="264"/>
      <c r="P39" s="256"/>
    </row>
    <row r="40" spans="1:16" x14ac:dyDescent="0.25">
      <c r="A40" s="288" t="str">
        <f>IF(C$6="Met","",IF(OR(B$4="2014-2015",B$4="2013-2014",B$4="2012-2013"),"","2012-13 Total"))</f>
        <v>2012-13 Total</v>
      </c>
      <c r="B40" s="268">
        <f>IF(A40="","",'21. 12-13 Exc &amp; Adj'!C45)</f>
        <v>0</v>
      </c>
      <c r="C40" s="264"/>
      <c r="D40" s="256"/>
      <c r="E40" s="389" t="str">
        <f>IF(G$6="Met","",IF(OR(F$4="2014-2015",F$4="2013-2014",F$4="2012-2013"),"","2012-13 Total"))</f>
        <v>2012-13 Total</v>
      </c>
      <c r="F40" s="268">
        <f>IF(E40="","",'21. 12-13 Exc &amp; Adj'!C45)</f>
        <v>0</v>
      </c>
      <c r="G40" s="264"/>
      <c r="H40" s="256"/>
      <c r="I40" s="389" t="str">
        <f>IF(K$6="Met","",IF(OR(J$4="2014-2015",J$4="2013-2014",J$4="2012-2013"),"","2012-13 Total"))</f>
        <v>2012-13 Total</v>
      </c>
      <c r="J40" s="268">
        <f>IF(I40="","",'21. 12-13 Exc &amp; Adj'!C45)</f>
        <v>0</v>
      </c>
      <c r="K40" s="264"/>
      <c r="L40" s="256"/>
      <c r="M40" s="389" t="str">
        <f>IF(O$6="Met","",IF(OR(N$4="2014-2015",N$4="2013-2014",N$4="2012-2013"),"","2012-13 Total"))</f>
        <v>2012-13 Total</v>
      </c>
      <c r="N40" s="268">
        <f>IF(M40="","",'21. 12-13 Exc &amp; Adj'!C45)</f>
        <v>0</v>
      </c>
      <c r="O40" s="264"/>
      <c r="P40" s="256"/>
    </row>
    <row r="41" spans="1:16" x14ac:dyDescent="0.25">
      <c r="A41" s="288" t="str">
        <f>IF(C$6="Met","",IF(OR(B$4="2014-2015",B$4="2013-2014",B$4="2012-2013",B$4="2011-2012"),"","2011-12 Total"))</f>
        <v>2011-12 Total</v>
      </c>
      <c r="B41" s="268">
        <f>IF(A41="","",'20. 11-12 Exc &amp; Adj'!C45)</f>
        <v>0</v>
      </c>
      <c r="C41" s="264"/>
      <c r="D41" s="256"/>
      <c r="E41" s="288" t="str">
        <f>IF(G$6="Met","",IF(OR(F$4="2014-2015",F$4="2013-2014",F$4="2012-2013",F$4="2011-2012"),"","2011-12 Total"))</f>
        <v>2011-12 Total</v>
      </c>
      <c r="F41" s="268">
        <f>IF(E41="","",'20. 11-12 Exc &amp; Adj'!C45)</f>
        <v>0</v>
      </c>
      <c r="G41" s="264"/>
      <c r="H41" s="256"/>
      <c r="I41" s="288" t="str">
        <f>IF(K$6="Met","",IF(OR(J$4="2014-2015",J$4="2013-2014",J$4="2012-2013",J$4="2011-2012"),"","2011-12 Total"))</f>
        <v>2011-12 Total</v>
      </c>
      <c r="J41" s="268">
        <f>IF(I41="","",'20. 11-12 Exc &amp; Adj'!C45)</f>
        <v>0</v>
      </c>
      <c r="K41" s="264"/>
      <c r="L41" s="256"/>
      <c r="M41" s="288" t="str">
        <f>IF(O$6="Met","",IF(OR(N$4="2014-2015",N$4="2013-2014",N$4="2012-2013",N$4="2011-2012"),"","2011-12 Total"))</f>
        <v>2011-12 Total</v>
      </c>
      <c r="N41" s="268">
        <f>IF(M41="","",'20. 11-12 Exc &amp; Adj'!C45)</f>
        <v>0</v>
      </c>
      <c r="O41" s="264"/>
      <c r="P41" s="256"/>
    </row>
    <row r="42" spans="1:16" x14ac:dyDescent="0.25">
      <c r="A42" s="494" t="s">
        <v>219</v>
      </c>
      <c r="B42" s="495"/>
      <c r="C42" s="264"/>
      <c r="D42" s="256"/>
      <c r="E42" s="494" t="s">
        <v>219</v>
      </c>
      <c r="F42" s="495"/>
      <c r="G42" s="264"/>
      <c r="H42" s="256"/>
      <c r="I42" s="494" t="s">
        <v>219</v>
      </c>
      <c r="J42" s="495"/>
      <c r="K42" s="264"/>
      <c r="L42" s="256"/>
      <c r="M42" s="494" t="s">
        <v>219</v>
      </c>
      <c r="N42" s="495"/>
      <c r="O42" s="264"/>
      <c r="P42" s="256"/>
    </row>
    <row r="43" spans="1:16" x14ac:dyDescent="0.25">
      <c r="A43" s="250" t="s">
        <v>42</v>
      </c>
      <c r="B43" s="263"/>
      <c r="C43" s="264"/>
      <c r="D43" s="256"/>
      <c r="E43" s="250" t="s">
        <v>42</v>
      </c>
      <c r="F43" s="263"/>
      <c r="G43" s="264"/>
      <c r="H43" s="256"/>
      <c r="I43" s="250" t="s">
        <v>42</v>
      </c>
      <c r="J43" s="263"/>
      <c r="K43" s="264"/>
      <c r="L43" s="256"/>
      <c r="M43" s="250" t="s">
        <v>42</v>
      </c>
      <c r="N43" s="263"/>
      <c r="O43" s="264"/>
      <c r="P43" s="256"/>
    </row>
    <row r="44" spans="1:16" x14ac:dyDescent="0.25">
      <c r="A44" s="250" t="s">
        <v>43</v>
      </c>
      <c r="B44" s="263"/>
      <c r="C44" s="264"/>
      <c r="D44" s="256"/>
      <c r="E44" s="250" t="s">
        <v>43</v>
      </c>
      <c r="F44" s="263"/>
      <c r="G44" s="264"/>
      <c r="H44" s="256"/>
      <c r="I44" s="250" t="s">
        <v>43</v>
      </c>
      <c r="J44" s="263"/>
      <c r="K44" s="264"/>
      <c r="L44" s="256"/>
      <c r="M44" s="250" t="s">
        <v>43</v>
      </c>
      <c r="N44" s="263"/>
      <c r="O44" s="264"/>
      <c r="P44" s="256"/>
    </row>
    <row r="45" spans="1:16" x14ac:dyDescent="0.25">
      <c r="A45" s="281" t="s">
        <v>74</v>
      </c>
      <c r="B45" s="255" t="s">
        <v>75</v>
      </c>
      <c r="C45" s="264"/>
      <c r="D45" s="256"/>
      <c r="E45" s="281" t="s">
        <v>74</v>
      </c>
      <c r="F45" s="255" t="s">
        <v>75</v>
      </c>
      <c r="G45" s="264"/>
      <c r="H45" s="256"/>
      <c r="I45" s="281" t="s">
        <v>74</v>
      </c>
      <c r="J45" s="255" t="s">
        <v>75</v>
      </c>
      <c r="K45" s="264"/>
      <c r="L45" s="256"/>
      <c r="M45" s="281" t="s">
        <v>74</v>
      </c>
      <c r="N45" s="255" t="s">
        <v>75</v>
      </c>
      <c r="O45" s="264"/>
      <c r="P45" s="256"/>
    </row>
    <row r="46" spans="1:16" x14ac:dyDescent="0.25">
      <c r="A46" s="283" t="str">
        <f>IF($C$6="Met","","2015-16 Total")</f>
        <v>2015-16 Total</v>
      </c>
      <c r="B46" s="270">
        <f>IF(A46="","",IF($B$1="Eligibility",'7. 15-16 Exc &amp; Adj'!$B$56,IF($B$1="Compliance",'7. 15-16 Exc &amp; Adj'!$I$56)))</f>
        <v>0</v>
      </c>
      <c r="C46" s="264"/>
      <c r="D46" s="256"/>
      <c r="E46" s="283" t="str">
        <f>IF($G$6="Met","","2015-16 Total")</f>
        <v>2015-16 Total</v>
      </c>
      <c r="F46" s="270">
        <f>IF(E46="","",IF($B$1="Eligibility",'7. 15-16 Exc &amp; Adj'!$B$56,IF($B$1="Compliance",'7. 15-16 Exc &amp; Adj'!$I$56)))</f>
        <v>0</v>
      </c>
      <c r="G46" s="264"/>
      <c r="H46" s="256"/>
      <c r="I46" s="283" t="str">
        <f>IF($K$6="Met","","2015-16 Total")</f>
        <v>2015-16 Total</v>
      </c>
      <c r="J46" s="270">
        <f>IF(I46="","",IF($B$1="Eligibility",'7. 15-16 Exc &amp; Adj'!$B$56,IF($B$1="Compliance",'7. 15-16 Exc &amp; Adj'!$I$56)))</f>
        <v>0</v>
      </c>
      <c r="K46" s="264"/>
      <c r="L46" s="256"/>
      <c r="M46" s="283" t="str">
        <f>IF($O$6="Met","","2015-16 Total")</f>
        <v>2015-16 Total</v>
      </c>
      <c r="N46" s="270">
        <f>IF(M46="","",IF($B$1="Eligibility",'7. 15-16 Exc &amp; Adj'!$B$56,IF($B$1="Compliance",'7. 15-16 Exc &amp; Adj'!$I$56)))</f>
        <v>0</v>
      </c>
      <c r="O46" s="264"/>
      <c r="P46" s="256"/>
    </row>
    <row r="47" spans="1:16" x14ac:dyDescent="0.25">
      <c r="A47" s="283" t="str">
        <f>IF(C$6="Met","",IF(B$4="2014-2015","","2014-15 Total"))</f>
        <v>2014-15 Total</v>
      </c>
      <c r="B47" s="270">
        <f>IF(A47="","",'23. 14-15 Exc &amp; Adj'!B55)</f>
        <v>0</v>
      </c>
      <c r="C47" s="264"/>
      <c r="D47" s="256"/>
      <c r="E47" s="283" t="str">
        <f>IF(G$6="Met","",IF(F$4="2014-2015","","2014-15 Total"))</f>
        <v>2014-15 Total</v>
      </c>
      <c r="F47" s="270">
        <f>IF(E47="","",'23. 14-15 Exc &amp; Adj'!B55)</f>
        <v>0</v>
      </c>
      <c r="G47" s="264"/>
      <c r="H47" s="256"/>
      <c r="I47" s="283" t="str">
        <f>IF(K$6="Met","",IF(J$4="2014-2015","","2014-15 Total"))</f>
        <v>2014-15 Total</v>
      </c>
      <c r="J47" s="270">
        <f>IF(I47="","",'23. 14-15 Exc &amp; Adj'!B55)</f>
        <v>0</v>
      </c>
      <c r="K47" s="264"/>
      <c r="L47" s="256"/>
      <c r="M47" s="283" t="str">
        <f>IF(O$6="Met","",IF(N$4="2014-2015","","2014-15 Total"))</f>
        <v>2014-15 Total</v>
      </c>
      <c r="N47" s="270">
        <f>IF(M47="","",'23. 14-15 Exc &amp; Adj'!B55)</f>
        <v>0</v>
      </c>
      <c r="O47" s="264"/>
      <c r="P47" s="256"/>
    </row>
    <row r="48" spans="1:16" x14ac:dyDescent="0.25">
      <c r="A48" s="288" t="str">
        <f>IF(C$6="Met","",IF(OR(B$4="2014-2015",B$4="2013-2014"),"","2013-14 Total"))</f>
        <v>2013-14 Total</v>
      </c>
      <c r="B48" s="270">
        <f>IF(A48="","",'22. 13-14 Exc &amp; Adj'!B55)</f>
        <v>0</v>
      </c>
      <c r="C48" s="264"/>
      <c r="D48" s="256"/>
      <c r="E48" s="288" t="str">
        <f>IF(G$6="Met","",IF(OR(F$4="2014-2015",F$4="2013-2014"),"","2013-14 Total"))</f>
        <v>2013-14 Total</v>
      </c>
      <c r="F48" s="270">
        <f>IF(E48="","",'22. 13-14 Exc &amp; Adj'!CB55)</f>
        <v>0</v>
      </c>
      <c r="G48" s="264"/>
      <c r="H48" s="256"/>
      <c r="I48" s="288" t="str">
        <f>IF(K$6="Met","",IF(OR(J$4="2014-2015",J$4="2013-2014"),"","2013-14 Total"))</f>
        <v>2013-14 Total</v>
      </c>
      <c r="J48" s="270">
        <f>IF(I48="","",'22. 13-14 Exc &amp; Adj'!B55)</f>
        <v>0</v>
      </c>
      <c r="K48" s="264"/>
      <c r="L48" s="256"/>
      <c r="M48" s="288" t="str">
        <f>IF(O$6="Met","",IF(OR(N$4="2014-2015",N$4="2013-2014"),"","2013-14 Total"))</f>
        <v>2013-14 Total</v>
      </c>
      <c r="N48" s="270">
        <f>IF(M48="","",'22. 13-14 Exc &amp; Adj'!B55)</f>
        <v>0</v>
      </c>
      <c r="O48" s="264"/>
      <c r="P48" s="256"/>
    </row>
    <row r="49" spans="1:16" x14ac:dyDescent="0.25">
      <c r="A49" s="389" t="str">
        <f>IF(C$6="Met","",IF(OR(B$4="2014-2015",B$4="2013-2014",B$4="2012-2013"),"","2012-13 Total"))</f>
        <v>2012-13 Total</v>
      </c>
      <c r="B49" s="271">
        <f>IF(A49="","",'21. 12-13 Exc &amp; Adj'!B55)</f>
        <v>0</v>
      </c>
      <c r="C49" s="264"/>
      <c r="D49" s="256"/>
      <c r="E49" s="389" t="str">
        <f>IF(G$6="Met","",IF(OR(F$4="2014-2015",F$4="2013-2014",F$4="2012-2013"),"","2012-13 Total"))</f>
        <v>2012-13 Total</v>
      </c>
      <c r="F49" s="271">
        <f>IF(E49="","",'21. 12-13 Exc &amp; Adj'!B55)</f>
        <v>0</v>
      </c>
      <c r="G49" s="264"/>
      <c r="H49" s="256"/>
      <c r="I49" s="389" t="str">
        <f>IF(K$6="Met","",IF(OR(J$4="2014-2015",J$4="2013-2014",J$4="2012-2013"),"","2012-13 Total"))</f>
        <v>2012-13 Total</v>
      </c>
      <c r="J49" s="271">
        <f>IF(I49="","",'21. 12-13 Exc &amp; Adj'!B55)</f>
        <v>0</v>
      </c>
      <c r="K49" s="264"/>
      <c r="L49" s="256"/>
      <c r="M49" s="389" t="str">
        <f>IF(O$6="Met","",IF(OR(N$4="2014-2015",N$4="2013-2014",N$4="2012-2013"),"","2012-13 Total"))</f>
        <v>2012-13 Total</v>
      </c>
      <c r="N49" s="271">
        <f>IF(M49="","",'21. 12-13 Exc &amp; Adj'!B55)</f>
        <v>0</v>
      </c>
      <c r="O49" s="264"/>
      <c r="P49" s="256"/>
    </row>
    <row r="50" spans="1:16" x14ac:dyDescent="0.25">
      <c r="A50" s="288" t="str">
        <f>IF(C$6="Met","",IF(OR(B$4="2014-2015",B$4="2013-2014",B$4="2012-2013",B$4="2011-2012"),"","2011-12 Total"))</f>
        <v>2011-12 Total</v>
      </c>
      <c r="B50" s="271">
        <f>IF(A50="","",'20. 11-12 Exc &amp; Adj'!B55)</f>
        <v>0</v>
      </c>
      <c r="C50" s="264"/>
      <c r="D50" s="256"/>
      <c r="E50" s="288" t="str">
        <f>IF(G$6="Met","",IF(OR(F$4="2014-2015",F$4="2013-2014",F$4="2012-2013",F$4="2011-2012"),"","2011-12 Total"))</f>
        <v>2011-12 Total</v>
      </c>
      <c r="F50" s="271">
        <f>IF(E50="","",'20. 11-12 Exc &amp; Adj'!B55)</f>
        <v>0</v>
      </c>
      <c r="G50" s="264"/>
      <c r="H50" s="256"/>
      <c r="I50" s="288" t="str">
        <f>IF(K$6="Met","",IF(OR(J$4="2014-2015",J$4="2013-2014",J$4="2012-2013",J$4="2011-2012"),"","2011-12 Total"))</f>
        <v>2011-12 Total</v>
      </c>
      <c r="J50" s="271">
        <f>IF(I50="","",'20. 11-12 Exc &amp; Adj'!B55)</f>
        <v>0</v>
      </c>
      <c r="K50" s="264"/>
      <c r="L50" s="256"/>
      <c r="M50" s="288" t="str">
        <f>IF(O$6="Met","",IF(OR(N$4="2014-2015",N$4="2013-2014",N$4="2012-2013",N$4="2011-2012"),"","2011-12 Total"))</f>
        <v>2011-12 Total</v>
      </c>
      <c r="N50" s="271">
        <f>IF(M50="","",'20. 11-12 Exc &amp; Adj'!B55)</f>
        <v>0</v>
      </c>
      <c r="O50" s="264"/>
      <c r="P50" s="256"/>
    </row>
    <row r="51" spans="1:16" x14ac:dyDescent="0.25">
      <c r="A51" s="492" t="s">
        <v>219</v>
      </c>
      <c r="B51" s="493"/>
      <c r="C51" s="264"/>
      <c r="D51" s="256"/>
      <c r="E51" s="488" t="s">
        <v>219</v>
      </c>
      <c r="F51" s="489"/>
      <c r="G51" s="264"/>
      <c r="H51" s="256"/>
      <c r="I51" s="492" t="s">
        <v>219</v>
      </c>
      <c r="J51" s="493"/>
      <c r="K51" s="264"/>
      <c r="L51" s="256"/>
      <c r="M51" s="488" t="s">
        <v>219</v>
      </c>
      <c r="N51" s="489"/>
      <c r="O51" s="264"/>
      <c r="P51" s="256"/>
    </row>
    <row r="52" spans="1:16" x14ac:dyDescent="0.25">
      <c r="A52" s="250" t="s">
        <v>44</v>
      </c>
      <c r="B52" s="263"/>
      <c r="C52" s="264"/>
      <c r="D52" s="256"/>
      <c r="E52" s="250" t="s">
        <v>44</v>
      </c>
      <c r="F52" s="263"/>
      <c r="G52" s="264"/>
      <c r="H52" s="256"/>
      <c r="I52" s="250" t="s">
        <v>44</v>
      </c>
      <c r="J52" s="263"/>
      <c r="K52" s="264"/>
      <c r="L52" s="256"/>
      <c r="M52" s="250" t="s">
        <v>44</v>
      </c>
      <c r="N52" s="263"/>
      <c r="O52" s="264"/>
      <c r="P52" s="256"/>
    </row>
    <row r="53" spans="1:16" x14ac:dyDescent="0.25">
      <c r="A53" s="250" t="s">
        <v>222</v>
      </c>
      <c r="B53" s="263"/>
      <c r="C53" s="264"/>
      <c r="D53" s="256"/>
      <c r="E53" s="250" t="s">
        <v>222</v>
      </c>
      <c r="F53" s="263"/>
      <c r="G53" s="264"/>
      <c r="H53" s="256"/>
      <c r="I53" s="250" t="s">
        <v>222</v>
      </c>
      <c r="J53" s="263"/>
      <c r="K53" s="264"/>
      <c r="L53" s="256"/>
      <c r="M53" s="250" t="s">
        <v>222</v>
      </c>
      <c r="N53" s="263"/>
      <c r="O53" s="264"/>
      <c r="P53" s="256"/>
    </row>
    <row r="54" spans="1:16" x14ac:dyDescent="0.25">
      <c r="A54" s="281" t="s">
        <v>74</v>
      </c>
      <c r="B54" s="255" t="s">
        <v>75</v>
      </c>
      <c r="C54" s="264"/>
      <c r="D54" s="256"/>
      <c r="E54" s="281" t="s">
        <v>74</v>
      </c>
      <c r="F54" s="255" t="s">
        <v>75</v>
      </c>
      <c r="G54" s="264"/>
      <c r="I54" s="281" t="s">
        <v>74</v>
      </c>
      <c r="J54" s="255" t="s">
        <v>75</v>
      </c>
      <c r="K54" s="264"/>
      <c r="L54" s="219"/>
      <c r="M54" s="281" t="s">
        <v>74</v>
      </c>
      <c r="N54" s="255" t="s">
        <v>75</v>
      </c>
      <c r="O54" s="264"/>
      <c r="P54" s="256"/>
    </row>
    <row r="55" spans="1:16" x14ac:dyDescent="0.25">
      <c r="A55" s="283" t="str">
        <f>IF($C$6="Met","","2015-16 Total")</f>
        <v>2015-16 Total</v>
      </c>
      <c r="B55" s="270">
        <f>IF(A55="","",IF($B$1="Eligibility",'7. 15-16 Exc &amp; Adj'!$B$66,IF($B$1="Compliance",'7. 15-16 Exc &amp; Adj'!$I$66)))</f>
        <v>0</v>
      </c>
      <c r="C55" s="264"/>
      <c r="E55" s="283" t="str">
        <f>IF($C$6="Met","","2015-16 Total")</f>
        <v>2015-16 Total</v>
      </c>
      <c r="F55" s="270">
        <f>IF(E55="","",IF($B$1="Eligibility",'7. 15-16 Exc &amp; Adj'!$B$66,IF($B$1="Compliance",'7. 15-16 Exc &amp; Adj'!$I$66)))</f>
        <v>0</v>
      </c>
      <c r="G55" s="264"/>
      <c r="H55" s="272"/>
      <c r="I55" s="283" t="str">
        <f>IF($C$6="Met","","2015-16 Total")</f>
        <v>2015-16 Total</v>
      </c>
      <c r="J55" s="270">
        <f>IF(I55="","",IF($B$1="Eligibility",'7. 15-16 Exc &amp; Adj'!$B$66,IF($B$1="Compliance",'7. 15-16 Exc &amp; Adj'!$I$66)))</f>
        <v>0</v>
      </c>
      <c r="K55" s="264"/>
      <c r="L55" s="272"/>
      <c r="M55" s="283" t="str">
        <f>IF($C$6="Met","","2015-16 Total")</f>
        <v>2015-16 Total</v>
      </c>
      <c r="N55" s="270">
        <f>IF(M55="","",IF($B$1="Eligibility",'7. 15-16 Exc &amp; Adj'!$B$66,IF($B$1="Compliance",'7. 15-16 Exc &amp; Adj'!$I$66)))</f>
        <v>0</v>
      </c>
      <c r="O55" s="264"/>
      <c r="P55" s="219"/>
    </row>
    <row r="56" spans="1:16" x14ac:dyDescent="0.25">
      <c r="A56" s="283" t="str">
        <f>IF(C$6="Met","",IF(B$4="2014-2015","","2014-15 Total"))</f>
        <v>2014-15 Total</v>
      </c>
      <c r="B56" s="270">
        <f>IF(A56="","",'23. 14-15 Exc &amp; Adj'!B65)</f>
        <v>0</v>
      </c>
      <c r="C56" s="264"/>
      <c r="D56" s="272"/>
      <c r="E56" s="283" t="str">
        <f>IF(G$6="Met","",IF(F$4="2014-2015","","2014-15 Total"))</f>
        <v>2014-15 Total</v>
      </c>
      <c r="F56" s="270">
        <f>IF(E56="","",'23. 14-15 Exc &amp; Adj'!B65)</f>
        <v>0</v>
      </c>
      <c r="G56" s="264"/>
      <c r="H56" s="273"/>
      <c r="I56" s="283" t="str">
        <f>IF(K$6="Met","",IF(J$4="2014-2015","","2014-15 Total"))</f>
        <v>2014-15 Total</v>
      </c>
      <c r="J56" s="270">
        <f>IF(I56="","",'23. 14-15 Exc &amp; Adj'!B65)</f>
        <v>0</v>
      </c>
      <c r="K56" s="264"/>
      <c r="L56" s="273"/>
      <c r="M56" s="283" t="str">
        <f>IF(O$6="Met","",IF(N$4="2014-2015","","2014-15 Total"))</f>
        <v>2014-15 Total</v>
      </c>
      <c r="N56" s="270">
        <f>IF(M56="","",'23. 14-15 Exc &amp; Adj'!B65)</f>
        <v>0</v>
      </c>
      <c r="O56" s="264"/>
      <c r="P56" s="272"/>
    </row>
    <row r="57" spans="1:16" x14ac:dyDescent="0.25">
      <c r="A57" s="288" t="str">
        <f>IF(C$6="Met","",IF(OR(B$4="2014-2015",B$4="2013-2014"),"","2013-14 Total"))</f>
        <v>2013-14 Total</v>
      </c>
      <c r="B57" s="270">
        <f>IF(A57="","",'22. 13-14 Exc &amp; Adj'!B65)</f>
        <v>0</v>
      </c>
      <c r="C57" s="264"/>
      <c r="D57" s="273"/>
      <c r="E57" s="288" t="str">
        <f>IF(G$6="Met","",IF(OR(F$4="2014-2015",F$4="2013-2014"),"","2013-14 Total"))</f>
        <v>2013-14 Total</v>
      </c>
      <c r="F57" s="270">
        <f>IF(E57="","",'22. 13-14 Exc &amp; Adj'!B65)</f>
        <v>0</v>
      </c>
      <c r="G57" s="264"/>
      <c r="H57" s="220"/>
      <c r="I57" s="288" t="str">
        <f>IF(K$6="Met","",IF(OR(J$4="2014-2015",J$4="2013-2014"),"","2013-14 Total"))</f>
        <v>2013-14 Total</v>
      </c>
      <c r="J57" s="270">
        <f>IF(I57="","",'22. 13-14 Exc &amp; Adj'!B65)</f>
        <v>0</v>
      </c>
      <c r="K57" s="264"/>
      <c r="M57" s="288" t="str">
        <f>IF(O$6="Met","",IF(OR(N$4="2014-2015",N$4="2013-2014"),"","2013-14 Total"))</f>
        <v>2013-14 Total</v>
      </c>
      <c r="N57" s="270">
        <f>IF(M57="","",'22. 13-14 Exc &amp; Adj'!B65)</f>
        <v>0</v>
      </c>
      <c r="O57" s="264"/>
      <c r="P57" s="273"/>
    </row>
    <row r="58" spans="1:16" x14ac:dyDescent="0.25">
      <c r="A58" s="389" t="str">
        <f>IF(C$6="Met","",IF(OR(B$4="2014-2015",B$4="2013-2014",B$4="2012-2013"),"","2012-13 Total"))</f>
        <v>2012-13 Total</v>
      </c>
      <c r="B58" s="271">
        <f>IF(A58="","",'21. 12-13 Exc &amp; Adj'!B65)</f>
        <v>0</v>
      </c>
      <c r="C58" s="264"/>
      <c r="D58" s="220"/>
      <c r="E58" s="389" t="str">
        <f>IF(G$6="Met","",IF(OR(F$4="2014-2015",F$4="2013-2014",F$4="2012-2013"),"","2012-13 Total"))</f>
        <v>2012-13 Total</v>
      </c>
      <c r="F58" s="271">
        <f>IF(E58="","",'21. 12-13 Exc &amp; Adj'!B65)</f>
        <v>0</v>
      </c>
      <c r="G58" s="264"/>
      <c r="I58" s="389" t="str">
        <f>IF(K$6="Met","",IF(OR(J$4="2014-2015",J$4="2013-2014",J$4="2012-2013"),"","2012-13 Total"))</f>
        <v>2012-13 Total</v>
      </c>
      <c r="J58" s="271">
        <f>IF(I58="","",'21. 12-13 Exc &amp; Adj'!B65)</f>
        <v>0</v>
      </c>
      <c r="K58" s="264"/>
      <c r="M58" s="389" t="str">
        <f>IF(O$6="Met","",IF(OR(N$4="2014-2015",N$4="2013-2014",N$4="2012-2013"),"","2012-13 Total"))</f>
        <v>2012-13 Total</v>
      </c>
      <c r="N58" s="271">
        <f>IF(M58="","",'21. 12-13 Exc &amp; Adj'!B65)</f>
        <v>0</v>
      </c>
      <c r="O58" s="264"/>
    </row>
    <row r="59" spans="1:16" x14ac:dyDescent="0.25">
      <c r="A59" s="288" t="str">
        <f>IF(C$6="Met","",IF(OR(B$4="2014-2015",B$4="2013-2014",B$4="2012-2013",B$4="2011-2012"),"","2011-12 Total"))</f>
        <v>2011-12 Total</v>
      </c>
      <c r="B59" s="271">
        <f>IF(A59="","",'20. 11-12 Exc &amp; Adj'!B65)</f>
        <v>0</v>
      </c>
      <c r="C59" s="264"/>
      <c r="E59" s="288" t="str">
        <f>IF(G$6="Met","",IF(OR(F$4="2014-2015",F$4="2013-2014",F$4="2012-2013",F$4="2011-2012"),"","2011-12 Total"))</f>
        <v>2011-12 Total</v>
      </c>
      <c r="F59" s="271">
        <f>IF(E59="","",'20. 11-12 Exc &amp; Adj'!B65)</f>
        <v>0</v>
      </c>
      <c r="G59" s="264"/>
      <c r="I59" s="288" t="str">
        <f>IF(K$6="Met","",IF(OR(J$4="2014-2015",J$4="2013-2014",J$4="2012-2013",J$4="2011-2012"),"","2011-12 Total"))</f>
        <v>2011-12 Total</v>
      </c>
      <c r="J59" s="271">
        <f>IF(I59="","",'20. 11-12 Exc &amp; Adj'!B65)</f>
        <v>0</v>
      </c>
      <c r="K59" s="264"/>
      <c r="M59" s="288" t="str">
        <f>IF(O$6="Met","",IF(OR(N$4="2014-2015",N$4="2013-2014",N$4="2012-2013",N$4="2011-2012"),"","2011-12 Total"))</f>
        <v>2011-12 Total</v>
      </c>
      <c r="N59" s="271">
        <f>IF(M59="","",'20. 11-12 Exc &amp; Adj'!B65)</f>
        <v>0</v>
      </c>
      <c r="O59" s="264"/>
      <c r="P59" s="219"/>
    </row>
    <row r="60" spans="1:16" x14ac:dyDescent="0.25">
      <c r="A60" s="492" t="s">
        <v>219</v>
      </c>
      <c r="B60" s="493"/>
      <c r="C60" s="264"/>
      <c r="E60" s="488" t="s">
        <v>219</v>
      </c>
      <c r="F60" s="489"/>
      <c r="G60" s="264"/>
      <c r="I60" s="492" t="s">
        <v>219</v>
      </c>
      <c r="J60" s="493"/>
      <c r="K60" s="264"/>
      <c r="L60" s="219"/>
      <c r="M60" s="488" t="s">
        <v>219</v>
      </c>
      <c r="N60" s="489"/>
      <c r="O60" s="264"/>
      <c r="P60" s="219"/>
    </row>
    <row r="61" spans="1:16" ht="16.5" thickBot="1" x14ac:dyDescent="0.3">
      <c r="A61" s="274" t="s">
        <v>77</v>
      </c>
      <c r="B61" s="318">
        <f>IF(C6="Met","",SUM(B17:B21,B25:B29,B37:B41,B46:B50,B55:B59))</f>
        <v>0</v>
      </c>
      <c r="C61" s="276"/>
      <c r="E61" s="274" t="s">
        <v>77</v>
      </c>
      <c r="F61" s="318">
        <f>IF(G6="Met","",SUM(F17:F21,F25:F29,F37:F41,F46:F50,F55:F59))</f>
        <v>0</v>
      </c>
      <c r="G61" s="276"/>
      <c r="I61" s="277" t="s">
        <v>101</v>
      </c>
      <c r="J61" s="101">
        <f>IF(K6="Met","",IF('3. Getting Started'!B7="No",SUM(J17:J21,J37:J41,J46:J50,J55:J59),IF('3. Getting Started'!B7="Yes",SUM(J17:J21,J25:J29,J37:J41,J46:J50,J55:J59),0)))</f>
        <v>0</v>
      </c>
      <c r="K61" s="264"/>
      <c r="L61" s="219"/>
      <c r="M61" s="277" t="s">
        <v>101</v>
      </c>
      <c r="N61" s="101">
        <f>IF(O6="Met","",IF('3. Getting Started'!B7="No",SUM(N17:N21,N37:N41,N46:N50,N55:N59),IF('3. Getting Started'!B7="Yes",SUM(N17:N21,N25:N29,N37:N41,N46:N50,N55:N59),0)))</f>
        <v>0</v>
      </c>
      <c r="O61" s="264"/>
      <c r="P61" s="219"/>
    </row>
    <row r="62" spans="1:16" ht="16.5" thickBot="1" x14ac:dyDescent="0.3">
      <c r="A62" s="490" t="s">
        <v>219</v>
      </c>
      <c r="B62" s="490"/>
      <c r="C62" s="490"/>
      <c r="E62" s="490" t="s">
        <v>219</v>
      </c>
      <c r="F62" s="490"/>
      <c r="G62" s="490"/>
      <c r="I62" s="274" t="s">
        <v>100</v>
      </c>
      <c r="J62" s="319" t="str">
        <f>IF(J75=0,"",IF(K6="Met","",IF('3. Getting Started'!B7="No",((J61/J75)+SUM(J25:J29)),IF('3. Getting Started'!B7="Yes",(J61/J75)))))</f>
        <v/>
      </c>
      <c r="K62" s="276"/>
      <c r="L62" s="219"/>
      <c r="M62" s="274" t="s">
        <v>100</v>
      </c>
      <c r="N62" s="319" t="str">
        <f>IF(N75=0,"",IF(O6="Met","",IF('3. Getting Started'!B7="No",((N61/N75)+SUM(N25:N29)),IF('3. Getting Started'!B7="Yes",(N61/N75)))))</f>
        <v/>
      </c>
      <c r="O62" s="276"/>
      <c r="P62" s="219"/>
    </row>
    <row r="63" spans="1:16" ht="19.5" thickBot="1" x14ac:dyDescent="0.3">
      <c r="A63" s="278" t="s">
        <v>11</v>
      </c>
      <c r="B63" s="279"/>
      <c r="C63" s="280"/>
      <c r="E63" s="278" t="s">
        <v>11</v>
      </c>
      <c r="F63" s="279"/>
      <c r="G63" s="280"/>
      <c r="I63" s="490" t="s">
        <v>219</v>
      </c>
      <c r="J63" s="490"/>
      <c r="K63" s="490"/>
      <c r="L63" s="219"/>
      <c r="M63" s="490" t="s">
        <v>219</v>
      </c>
      <c r="N63" s="490"/>
      <c r="O63" s="490"/>
      <c r="P63" s="219"/>
    </row>
    <row r="64" spans="1:16" ht="18.75" x14ac:dyDescent="0.25">
      <c r="A64" s="254" t="s">
        <v>74</v>
      </c>
      <c r="B64" s="255" t="s">
        <v>75</v>
      </c>
      <c r="C64" s="282"/>
      <c r="E64" s="254" t="s">
        <v>74</v>
      </c>
      <c r="F64" s="255" t="s">
        <v>75</v>
      </c>
      <c r="G64" s="282"/>
      <c r="I64" s="278" t="s">
        <v>11</v>
      </c>
      <c r="J64" s="279"/>
      <c r="K64" s="280"/>
      <c r="L64" s="219"/>
      <c r="M64" s="278" t="s">
        <v>11</v>
      </c>
      <c r="N64" s="279"/>
      <c r="O64" s="280"/>
      <c r="P64" s="219"/>
    </row>
    <row r="65" spans="1:16" x14ac:dyDescent="0.25">
      <c r="A65" s="267" t="str">
        <f>IF($C$6="Met","","2015-16 Adjustment")</f>
        <v>2015-16 Adjustment</v>
      </c>
      <c r="B65" s="270">
        <f>IF(A65="","",IF($B$1="Eligibility",'7. 15-16 Exc &amp; Adj'!$B$70,IF($B$1="Compliance",'7. 15-16 Exc &amp; Adj'!$I$70)))</f>
        <v>0</v>
      </c>
      <c r="C65" s="284"/>
      <c r="E65" s="267" t="str">
        <f>IF($G$6="Met","","2015-16 Adjustment")</f>
        <v>2015-16 Adjustment</v>
      </c>
      <c r="F65" s="270">
        <f>IF(E65="","",IF($B$1="Eligibility",'7. 15-16 Exc &amp; Adj'!$B$70,IF($B$1="Compliance",'7. 15-16 Exc &amp; Adj'!$I$70)))</f>
        <v>0</v>
      </c>
      <c r="G65" s="284"/>
      <c r="I65" s="254" t="s">
        <v>74</v>
      </c>
      <c r="J65" s="255" t="s">
        <v>75</v>
      </c>
      <c r="K65" s="282"/>
      <c r="L65" s="219"/>
      <c r="M65" s="254" t="s">
        <v>74</v>
      </c>
      <c r="N65" s="255" t="s">
        <v>75</v>
      </c>
      <c r="O65" s="282"/>
      <c r="P65" s="219"/>
    </row>
    <row r="66" spans="1:16" x14ac:dyDescent="0.25">
      <c r="A66" s="267" t="str">
        <f>IF(C$6="Met","",IF(B$4="2014-2015","","2014-15 Adjustment"))</f>
        <v>2014-15 Adjustment</v>
      </c>
      <c r="B66" s="270">
        <f>IF(A66="","",'23. 14-15 Exc &amp; Adj'!B69)</f>
        <v>0</v>
      </c>
      <c r="C66" s="284"/>
      <c r="E66" s="267" t="str">
        <f>IF(G$6="Met","",IF(F$4="2014-2015","","2014-15 Adjustment"))</f>
        <v>2014-15 Adjustment</v>
      </c>
      <c r="F66" s="270">
        <f>IF(E66="","",'23. 14-15 Exc &amp; Adj'!B69)</f>
        <v>0</v>
      </c>
      <c r="G66" s="284"/>
      <c r="I66" s="267" t="str">
        <f>IF($K$6="Met","","2015-16 Adjustment")</f>
        <v>2015-16 Adjustment</v>
      </c>
      <c r="J66" s="270">
        <f>IF(I66="","",IF($B$1="Eligibility",'7. 15-16 Exc &amp; Adj'!$B$70,IF($B$1="Compliance",'7. 15-16 Exc &amp; Adj'!$I$70)))</f>
        <v>0</v>
      </c>
      <c r="K66" s="284"/>
      <c r="L66" s="219"/>
      <c r="M66" s="267" t="str">
        <f>IF($O$6="Met","","2015-16 Adjustment")</f>
        <v>2015-16 Adjustment</v>
      </c>
      <c r="N66" s="270">
        <f>IF(M66="","",IF($B$1="Eligibility",'7. 15-16 Exc &amp; Adj'!$B$70,IF($B$1="Compliance",'7. 15-16 Exc &amp; Adj'!$I$70)))</f>
        <v>0</v>
      </c>
      <c r="O66" s="284"/>
      <c r="P66" s="219"/>
    </row>
    <row r="67" spans="1:16" x14ac:dyDescent="0.25">
      <c r="A67" s="259" t="str">
        <f>IF(C$6="Met","",IF(OR(B$4="2014-2015",B$4="2013-2014"),"","2013-14 Adjustment"))</f>
        <v>2013-14 Adjustment</v>
      </c>
      <c r="B67" s="270">
        <f>IF(A67="","",'22. 13-14 Exc &amp; Adj'!B69)</f>
        <v>0</v>
      </c>
      <c r="C67" s="284"/>
      <c r="E67" s="259" t="str">
        <f>IF(G$6="Met","",IF(OR(F$4="2014-2015",F$4="2013-2014"),"","2013-14 Adjustment"))</f>
        <v>2013-14 Adjustment</v>
      </c>
      <c r="F67" s="270">
        <f>IF(E67="","",'22. 13-14 Exc &amp; Adj'!B69)</f>
        <v>0</v>
      </c>
      <c r="G67" s="284"/>
      <c r="I67" s="267" t="str">
        <f>IF(K$6="Met","",IF(J$4="2014-2015","","2014-15 Adjustment"))</f>
        <v>2014-15 Adjustment</v>
      </c>
      <c r="J67" s="270">
        <f>IF(I67="","",'23. 14-15 Exc &amp; Adj'!B69)</f>
        <v>0</v>
      </c>
      <c r="K67" s="284"/>
      <c r="L67" s="219"/>
      <c r="M67" s="267" t="str">
        <f>IF(O$6="Met","",IF(N$4="2014-2015","","2014-15 Adjustment"))</f>
        <v>2014-15 Adjustment</v>
      </c>
      <c r="N67" s="270">
        <f>IF(M67="","",'23. 14-15 Exc &amp; Adj'!B69)</f>
        <v>0</v>
      </c>
      <c r="O67" s="284"/>
      <c r="P67" s="219"/>
    </row>
    <row r="68" spans="1:16" x14ac:dyDescent="0.25">
      <c r="A68" s="260" t="str">
        <f>IF(C$6="Met","",IF(OR(B$4="2014-2015",B$4="2013-2014",B$4="2012-2013"),"","2012-13 Adjustment"))</f>
        <v>2012-13 Adjustment</v>
      </c>
      <c r="B68" s="271">
        <f>IF(A68="","",'21. 12-13 Exc &amp; Adj'!B69)</f>
        <v>0</v>
      </c>
      <c r="C68" s="284"/>
      <c r="E68" s="260" t="str">
        <f>IF(G$6="Met","",IF(OR(F$4="2014-2015",F$4="2013-2014",F$4="2012-2013"),"","2012-13 Adjustment"))</f>
        <v>2012-13 Adjustment</v>
      </c>
      <c r="F68" s="271">
        <f>IF(E68="","",'21. 12-13 Exc &amp; Adj'!B69)</f>
        <v>0</v>
      </c>
      <c r="G68" s="284"/>
      <c r="I68" s="259" t="str">
        <f>IF(K$6="Met","",IF(OR(J$4="2014-2015",J$4="2013-2014"),"","2013-14 Adjustment"))</f>
        <v>2013-14 Adjustment</v>
      </c>
      <c r="J68" s="270">
        <f>IF(I68="","",'22. 13-14 Exc &amp; Adj'!B69)</f>
        <v>0</v>
      </c>
      <c r="K68" s="284"/>
      <c r="L68" s="219"/>
      <c r="M68" s="259" t="str">
        <f>IF(O$6="Met","",IF(OR(N$4="2014-2015",N$4="2013-2014"),"","2013-14 Adjustment"))</f>
        <v>2013-14 Adjustment</v>
      </c>
      <c r="N68" s="270">
        <f>IF(M68="","",'22. 13-14 Exc &amp; Adj'!B69)</f>
        <v>0</v>
      </c>
      <c r="O68" s="284"/>
      <c r="P68" s="219"/>
    </row>
    <row r="69" spans="1:16" x14ac:dyDescent="0.25">
      <c r="A69" s="260" t="str">
        <f>IF(C$6="Met","",IF(OR(B$4="2014-2015",B$4="2013-2014",B$4="2012-2013",B$4="2011-2012"),"","2011-12 Adjustment"))</f>
        <v>2011-12 Adjustment</v>
      </c>
      <c r="B69" s="271">
        <f>IF(A69="","",'20. 11-12 Exc &amp; Adj'!B69)</f>
        <v>0</v>
      </c>
      <c r="C69" s="284"/>
      <c r="E69" s="260" t="str">
        <f>IF(G$6="Met","",IF(OR(F$4="2014-2015",F$4="2013-2014",F$4="2012-2013",F$4="2011-2012"),"","2011-12 Adjustment"))</f>
        <v>2011-12 Adjustment</v>
      </c>
      <c r="F69" s="271">
        <f>IF(E69="","",'20. 11-12 Exc &amp; Adj'!B69)</f>
        <v>0</v>
      </c>
      <c r="G69" s="284"/>
      <c r="I69" s="260" t="str">
        <f>IF(K$6="Met","",IF(OR(J$4="2014-2015",J$4="2013-2014",J$4="2012-2013"),"","2012-13 Adjustment"))</f>
        <v>2012-13 Adjustment</v>
      </c>
      <c r="J69" s="271">
        <f>IF(I69="","",'21. 12-13 Exc &amp; Adj'!B69)</f>
        <v>0</v>
      </c>
      <c r="K69" s="284"/>
      <c r="L69" s="219"/>
      <c r="M69" s="260" t="str">
        <f>IF(O$6="Met","",IF(OR(N$4="2014-2015",N$4="2013-2014",N$4="2012-2013"),"","2012-13 Adjustment"))</f>
        <v>2012-13 Adjustment</v>
      </c>
      <c r="N69" s="271">
        <f>IF(M69="","",'21. 12-13 Exc &amp; Adj'!B69)</f>
        <v>0</v>
      </c>
      <c r="O69" s="284"/>
    </row>
    <row r="70" spans="1:16" x14ac:dyDescent="0.25">
      <c r="A70" s="488" t="s">
        <v>219</v>
      </c>
      <c r="B70" s="489"/>
      <c r="C70" s="284"/>
      <c r="E70" s="488" t="s">
        <v>219</v>
      </c>
      <c r="F70" s="489"/>
      <c r="G70" s="284"/>
      <c r="I70" s="260" t="str">
        <f>IF(K$6="Met","",IF(OR(J$4="2014-2015",J$4="2013-2014",J$4="2012-2013",J$4="2011-2012"),"","2011-12 Adjustment"))</f>
        <v>2011-12 Adjustment</v>
      </c>
      <c r="J70" s="271">
        <f>IF(I70="","",'20. 11-12 Exc &amp; Adj'!B69)</f>
        <v>0</v>
      </c>
      <c r="K70" s="284"/>
      <c r="M70" s="260" t="str">
        <f>IF(O$6="Met","",IF(OR(N$4="2014-2015",N$4="2013-2014",N$4="2012-2013",N$4="2011-2012"),"","2011-12 Adjustment"))</f>
        <v>2011-12 Adjustment</v>
      </c>
      <c r="N70" s="271">
        <f>IF(M70="","",'20. 11-12 Exc &amp; Adj'!B69)</f>
        <v>0</v>
      </c>
      <c r="O70" s="284"/>
    </row>
    <row r="71" spans="1:16" ht="16.5" thickBot="1" x14ac:dyDescent="0.3">
      <c r="A71" s="274" t="s">
        <v>78</v>
      </c>
      <c r="B71" s="318">
        <f>SUM(B65:B69)</f>
        <v>0</v>
      </c>
      <c r="C71" s="285"/>
      <c r="E71" s="274" t="s">
        <v>78</v>
      </c>
      <c r="F71" s="318">
        <f>SUM(F65:F69)</f>
        <v>0</v>
      </c>
      <c r="G71" s="285"/>
      <c r="I71" s="488" t="s">
        <v>219</v>
      </c>
      <c r="J71" s="489"/>
      <c r="K71" s="284"/>
      <c r="M71" s="488" t="s">
        <v>219</v>
      </c>
      <c r="N71" s="489"/>
      <c r="O71" s="284"/>
    </row>
    <row r="72" spans="1:16" x14ac:dyDescent="0.25">
      <c r="I72" s="277" t="s">
        <v>102</v>
      </c>
      <c r="J72" s="101">
        <f>SUM(J66:J70)</f>
        <v>0</v>
      </c>
      <c r="K72" s="284"/>
      <c r="M72" s="277" t="s">
        <v>102</v>
      </c>
      <c r="N72" s="101">
        <f>SUM(N66:N70)</f>
        <v>0</v>
      </c>
      <c r="O72" s="284"/>
    </row>
    <row r="73" spans="1:16" ht="16.5" thickBot="1" x14ac:dyDescent="0.3">
      <c r="I73" s="274" t="s">
        <v>103</v>
      </c>
      <c r="J73" s="275" t="str">
        <f>IF(J75=0,"",J72/J75)</f>
        <v/>
      </c>
      <c r="K73" s="285"/>
      <c r="M73" s="274" t="s">
        <v>103</v>
      </c>
      <c r="N73" s="275" t="str">
        <f>IF(N75=0,"",N72/N75)</f>
        <v/>
      </c>
      <c r="O73" s="285"/>
    </row>
    <row r="74" spans="1:16" s="45" customFormat="1" x14ac:dyDescent="0.25">
      <c r="A74" s="428" t="s">
        <v>258</v>
      </c>
      <c r="I74" s="496" t="s">
        <v>219</v>
      </c>
      <c r="J74" s="496"/>
      <c r="K74" s="496"/>
      <c r="L74" s="286"/>
      <c r="M74" s="496" t="s">
        <v>219</v>
      </c>
      <c r="N74" s="496"/>
      <c r="O74" s="496"/>
      <c r="P74" s="286"/>
    </row>
    <row r="75" spans="1:16" s="350" customFormat="1" x14ac:dyDescent="0.25">
      <c r="A75" s="429" t="s">
        <v>252</v>
      </c>
      <c r="I75" s="419" t="s">
        <v>99</v>
      </c>
      <c r="J75" s="287">
        <f>LOOKUP(J4,'4. Multi-Year MOE Summary'!$A$3:$A$12,'4. Multi-Year MOE Summary'!$C$3:$C$12)</f>
        <v>0</v>
      </c>
      <c r="L75" s="419"/>
      <c r="M75" s="419" t="s">
        <v>99</v>
      </c>
      <c r="N75" s="287">
        <f>LOOKUP(N4,'4. Multi-Year MOE Summary'!$A$3:$A$12,'4. Multi-Year MOE Summary'!$C$3:$C$12)</f>
        <v>0</v>
      </c>
      <c r="P75" s="419"/>
    </row>
    <row r="76" spans="1:16" x14ac:dyDescent="0.25">
      <c r="A76" s="497" t="s">
        <v>221</v>
      </c>
      <c r="B76" s="497"/>
      <c r="C76" s="497"/>
      <c r="D76" s="497"/>
      <c r="E76" s="497"/>
      <c r="F76" s="497"/>
      <c r="G76" s="497"/>
      <c r="H76" s="497"/>
      <c r="I76" s="497"/>
      <c r="J76" s="497"/>
      <c r="K76" s="497"/>
      <c r="L76" s="497"/>
      <c r="M76" s="497"/>
      <c r="N76" s="497"/>
      <c r="O76" s="497"/>
    </row>
  </sheetData>
  <sheetProtection algorithmName="SHA-512" hashValue="dqtqm0tatgB0jEGJ4k96QIgAnGBENE5c5dbSgQwDd+cqQvihfofcMgdQNmmlwyEfX8GtgR1+EjMUWKld/NqYtw==" saltValue="YMjakuZx5en8sDNejJKZAQ==" spinCount="100000" sheet="1" objects="1" scenarios="1" formatColumns="0" formatRows="0"/>
  <mergeCells count="35">
    <mergeCell ref="M71:N71"/>
    <mergeCell ref="M74:O74"/>
    <mergeCell ref="A76:O76"/>
    <mergeCell ref="I63:K63"/>
    <mergeCell ref="I71:J71"/>
    <mergeCell ref="I74:K74"/>
    <mergeCell ref="A70:B70"/>
    <mergeCell ref="M60:N60"/>
    <mergeCell ref="M63:O63"/>
    <mergeCell ref="I12:K12"/>
    <mergeCell ref="I22:J22"/>
    <mergeCell ref="I30:J30"/>
    <mergeCell ref="I42:J42"/>
    <mergeCell ref="I51:J51"/>
    <mergeCell ref="I60:J60"/>
    <mergeCell ref="M12:O12"/>
    <mergeCell ref="M22:N22"/>
    <mergeCell ref="M30:N30"/>
    <mergeCell ref="M42:N42"/>
    <mergeCell ref="M51:N51"/>
    <mergeCell ref="E60:F60"/>
    <mergeCell ref="A62:C62"/>
    <mergeCell ref="E62:G62"/>
    <mergeCell ref="E70:F70"/>
    <mergeCell ref="A12:C12"/>
    <mergeCell ref="A22:B22"/>
    <mergeCell ref="A30:B30"/>
    <mergeCell ref="A42:B42"/>
    <mergeCell ref="A51:B51"/>
    <mergeCell ref="A60:B60"/>
    <mergeCell ref="E12:G12"/>
    <mergeCell ref="E22:F22"/>
    <mergeCell ref="E30:F30"/>
    <mergeCell ref="E42:F42"/>
    <mergeCell ref="E51:F51"/>
  </mergeCells>
  <conditionalFormatting sqref="A37:B41">
    <cfRule type="containsBlanks" dxfId="2323" priority="381">
      <formula>LEN(TRIM(A37))=0</formula>
    </cfRule>
  </conditionalFormatting>
  <conditionalFormatting sqref="E37:F41">
    <cfRule type="containsBlanks" dxfId="2322" priority="343">
      <formula>LEN(TRIM(E37))=0</formula>
    </cfRule>
  </conditionalFormatting>
  <conditionalFormatting sqref="E46:F50">
    <cfRule type="containsBlanks" dxfId="2321" priority="342">
      <formula>LEN(TRIM(E46))=0</formula>
    </cfRule>
  </conditionalFormatting>
  <conditionalFormatting sqref="E55:F59">
    <cfRule type="containsBlanks" dxfId="2320" priority="311">
      <formula>LEN(TRIM(E55))=0</formula>
    </cfRule>
  </conditionalFormatting>
  <conditionalFormatting sqref="A65:B69">
    <cfRule type="containsBlanks" dxfId="2319" priority="358">
      <formula>LEN(TRIM(A65))=0</formula>
    </cfRule>
  </conditionalFormatting>
  <conditionalFormatting sqref="A17:B21">
    <cfRule type="containsBlanks" dxfId="2318" priority="353">
      <formula>LEN(TRIM(A17))=0</formula>
    </cfRule>
  </conditionalFormatting>
  <conditionalFormatting sqref="A46:B50">
    <cfRule type="containsBlanks" dxfId="2317" priority="347">
      <formula>LEN(TRIM(A46))=0</formula>
    </cfRule>
  </conditionalFormatting>
  <conditionalFormatting sqref="E65:F69">
    <cfRule type="containsBlanks" dxfId="2316" priority="324">
      <formula>LEN(TRIM(E65))=0</formula>
    </cfRule>
  </conditionalFormatting>
  <conditionalFormatting sqref="E25:F29">
    <cfRule type="containsBlanks" dxfId="2315" priority="317">
      <formula>LEN(TRIM(E25))=0</formula>
    </cfRule>
  </conditionalFormatting>
  <conditionalFormatting sqref="I25:J29">
    <cfRule type="containsBlanks" dxfId="2314" priority="281">
      <formula>LEN(TRIM(I25))=0</formula>
    </cfRule>
  </conditionalFormatting>
  <conditionalFormatting sqref="I37:J41">
    <cfRule type="containsBlanks" dxfId="2313" priority="279">
      <formula>LEN(TRIM(I37))=0</formula>
    </cfRule>
  </conditionalFormatting>
  <conditionalFormatting sqref="E17:F21">
    <cfRule type="containsBlanks" dxfId="2312" priority="236">
      <formula>LEN(TRIM(E17))=0</formula>
    </cfRule>
  </conditionalFormatting>
  <conditionalFormatting sqref="I17:J21">
    <cfRule type="containsBlanks" dxfId="2311" priority="235">
      <formula>LEN(TRIM(I17))=0</formula>
    </cfRule>
  </conditionalFormatting>
  <conditionalFormatting sqref="I46:J50">
    <cfRule type="containsBlanks" dxfId="2310" priority="143">
      <formula>LEN(TRIM(I46))=0</formula>
    </cfRule>
  </conditionalFormatting>
  <conditionalFormatting sqref="I55:J59">
    <cfRule type="containsBlanks" dxfId="2309" priority="142">
      <formula>LEN(TRIM(I55))=0</formula>
    </cfRule>
  </conditionalFormatting>
  <conditionalFormatting sqref="M46:N50">
    <cfRule type="containsBlanks" dxfId="2308" priority="140">
      <formula>LEN(TRIM(M46))=0</formula>
    </cfRule>
  </conditionalFormatting>
  <conditionalFormatting sqref="M37:N41">
    <cfRule type="containsBlanks" dxfId="2307" priority="139">
      <formula>LEN(TRIM(M37))=0</formula>
    </cfRule>
  </conditionalFormatting>
  <conditionalFormatting sqref="I66:J70">
    <cfRule type="containsBlanks" dxfId="2306" priority="135">
      <formula>LEN(TRIM(I66))=0</formula>
    </cfRule>
  </conditionalFormatting>
  <conditionalFormatting sqref="M66:N70">
    <cfRule type="containsBlanks" dxfId="2305" priority="134">
      <formula>LEN(TRIM(M66))=0</formula>
    </cfRule>
  </conditionalFormatting>
  <conditionalFormatting sqref="M55:N59">
    <cfRule type="containsBlanks" dxfId="2304" priority="104">
      <formula>LEN(TRIM(M55))=0</formula>
    </cfRule>
  </conditionalFormatting>
  <conditionalFormatting sqref="M25:N29">
    <cfRule type="containsBlanks" dxfId="2303" priority="87">
      <formula>LEN(TRIM(M25))=0</formula>
    </cfRule>
  </conditionalFormatting>
  <conditionalFormatting sqref="M17:N21">
    <cfRule type="containsBlanks" dxfId="2302" priority="73">
      <formula>LEN(TRIM(M17))=0</formula>
    </cfRule>
  </conditionalFormatting>
  <conditionalFormatting sqref="A25:B29">
    <cfRule type="containsBlanks" dxfId="2301" priority="3">
      <formula>LEN(TRIM(A25))=0</formula>
    </cfRule>
  </conditionalFormatting>
  <conditionalFormatting sqref="A55:B59">
    <cfRule type="containsBlanks" dxfId="2300" priority="1">
      <formula>LEN(TRIM(A55))=0</formula>
    </cfRule>
  </conditionalFormatting>
  <conditionalFormatting sqref="C6 C9 C11">
    <cfRule type="containsText" dxfId="2299" priority="128" operator="containsText" text="Did Not Meet">
      <formula>NOT(ISERROR(SEARCH("Did Not Meet",C6)))</formula>
    </cfRule>
    <cfRule type="containsText" dxfId="2298" priority="129" operator="containsText" text="Met">
      <formula>NOT(ISERROR(SEARCH("Met",C6)))</formula>
    </cfRule>
  </conditionalFormatting>
  <conditionalFormatting sqref="G6 G9 G11">
    <cfRule type="containsText" dxfId="2297" priority="126" operator="containsText" text="Did Not Meet">
      <formula>NOT(ISERROR(SEARCH("Did Not Meet",G6)))</formula>
    </cfRule>
    <cfRule type="containsText" dxfId="2296" priority="127" operator="containsText" text="Met">
      <formula>NOT(ISERROR(SEARCH("Met",G6)))</formula>
    </cfRule>
  </conditionalFormatting>
  <conditionalFormatting sqref="K6 K9 K11">
    <cfRule type="containsText" dxfId="2295" priority="124" operator="containsText" text="Did Not Meet">
      <formula>NOT(ISERROR(SEARCH("Did Not Meet",K6)))</formula>
    </cfRule>
    <cfRule type="containsText" dxfId="2294" priority="125" operator="containsText" text="Met">
      <formula>NOT(ISERROR(SEARCH("Met",K6)))</formula>
    </cfRule>
  </conditionalFormatting>
  <conditionalFormatting sqref="O6 O9 O11">
    <cfRule type="containsText" dxfId="2293" priority="122" operator="containsText" text="Did Not Meet">
      <formula>NOT(ISERROR(SEARCH("Did Not Meet",O6)))</formula>
    </cfRule>
    <cfRule type="containsText" dxfId="2292" priority="123" operator="containsText" text="Met">
      <formula>NOT(ISERROR(SEARCH("Met",O6)))</formula>
    </cfRule>
  </conditionalFormatting>
  <hyperlinks>
    <hyperlink ref="A75" r:id="rId1" display="http://cifr.wested.org/resources/lea-moe/calculator/"/>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132" id="{F693E4BC-EA40-434A-8E8C-AB0C7E1C8952}">
            <xm:f>'3. Getting Started'!$B$9="No"</xm:f>
            <x14:dxf>
              <fill>
                <patternFill>
                  <bgColor theme="1"/>
                </patternFill>
              </fill>
            </x14:dxf>
          </x14:cfRule>
          <xm:sqref>E59:F59</xm:sqref>
        </x14:conditionalFormatting>
        <x14:conditionalFormatting xmlns:xm="http://schemas.microsoft.com/office/excel/2006/main">
          <x14:cfRule type="expression" priority="131" id="{12C15A58-BE1D-463E-B8A5-DBA3262354B7}">
            <xm:f>'3. Getting Started'!$B$9="No"</xm:f>
            <x14:dxf>
              <fill>
                <patternFill>
                  <bgColor theme="1"/>
                </patternFill>
              </fill>
            </x14:dxf>
          </x14:cfRule>
          <xm:sqref>I59:J59</xm:sqref>
        </x14:conditionalFormatting>
        <x14:conditionalFormatting xmlns:xm="http://schemas.microsoft.com/office/excel/2006/main">
          <x14:cfRule type="expression" priority="121" id="{8B664FD9-D642-4D4E-868D-BDD134607BF0}">
            <xm:f>'3. Getting Started'!$B$13="No"</xm:f>
            <x14:dxf>
              <fill>
                <patternFill>
                  <bgColor theme="1"/>
                </patternFill>
              </fill>
            </x14:dxf>
          </x14:cfRule>
          <xm:sqref>A55:B55</xm:sqref>
        </x14:conditionalFormatting>
        <x14:conditionalFormatting xmlns:xm="http://schemas.microsoft.com/office/excel/2006/main">
          <x14:cfRule type="expression" priority="120" id="{BAED80E2-6C85-4AE1-A2FB-4C331BC7D6A3}">
            <xm:f>'3. Getting Started'!$B$12="No"</xm:f>
            <x14:dxf>
              <fill>
                <patternFill>
                  <bgColor theme="1"/>
                </patternFill>
              </fill>
            </x14:dxf>
          </x14:cfRule>
          <xm:sqref>A56:B56</xm:sqref>
        </x14:conditionalFormatting>
        <x14:conditionalFormatting xmlns:xm="http://schemas.microsoft.com/office/excel/2006/main">
          <x14:cfRule type="expression" priority="119" id="{5B43BDE8-C938-4661-8E23-B6710A0F81EC}">
            <xm:f>'3. Getting Started'!$B$11="No"</xm:f>
            <x14:dxf>
              <fill>
                <patternFill>
                  <bgColor theme="1"/>
                </patternFill>
              </fill>
            </x14:dxf>
          </x14:cfRule>
          <xm:sqref>A57:B57</xm:sqref>
        </x14:conditionalFormatting>
        <x14:conditionalFormatting xmlns:xm="http://schemas.microsoft.com/office/excel/2006/main">
          <x14:cfRule type="expression" priority="118" id="{1D5F64A7-43D8-4A14-B8A0-D88C788FA9CA}">
            <xm:f>'3. Getting Started'!$B$10="No"</xm:f>
            <x14:dxf>
              <fill>
                <patternFill>
                  <bgColor theme="1"/>
                </patternFill>
              </fill>
            </x14:dxf>
          </x14:cfRule>
          <xm:sqref>A58:B58</xm:sqref>
        </x14:conditionalFormatting>
        <x14:conditionalFormatting xmlns:xm="http://schemas.microsoft.com/office/excel/2006/main">
          <x14:cfRule type="expression" priority="117" id="{D6256D3A-8D55-4650-AFEF-1364F8BE326C}">
            <xm:f>'3. Getting Started'!$B$13="No"</xm:f>
            <x14:dxf>
              <fill>
                <patternFill>
                  <bgColor theme="1"/>
                </patternFill>
              </fill>
            </x14:dxf>
          </x14:cfRule>
          <xm:sqref>E55:F55</xm:sqref>
        </x14:conditionalFormatting>
        <x14:conditionalFormatting xmlns:xm="http://schemas.microsoft.com/office/excel/2006/main">
          <x14:cfRule type="expression" priority="116" id="{37163DE5-7261-43A6-8598-3B0027DD70E5}">
            <xm:f>'3. Getting Started'!$B$12="No"</xm:f>
            <x14:dxf>
              <fill>
                <patternFill>
                  <bgColor theme="1"/>
                </patternFill>
              </fill>
            </x14:dxf>
          </x14:cfRule>
          <xm:sqref>E56:F56</xm:sqref>
        </x14:conditionalFormatting>
        <x14:conditionalFormatting xmlns:xm="http://schemas.microsoft.com/office/excel/2006/main">
          <x14:cfRule type="expression" priority="115" id="{B08BCEDA-D9AF-40B5-8B78-E5E1202846DF}">
            <xm:f>'3. Getting Started'!$B$11="No"</xm:f>
            <x14:dxf>
              <fill>
                <patternFill>
                  <bgColor theme="1"/>
                </patternFill>
              </fill>
            </x14:dxf>
          </x14:cfRule>
          <xm:sqref>E57:F57</xm:sqref>
        </x14:conditionalFormatting>
        <x14:conditionalFormatting xmlns:xm="http://schemas.microsoft.com/office/excel/2006/main">
          <x14:cfRule type="expression" priority="114" id="{56F8FC32-7EB4-4129-ABF7-D612DB6F4C6B}">
            <xm:f>'3. Getting Started'!$B$10="No"</xm:f>
            <x14:dxf>
              <fill>
                <patternFill>
                  <bgColor theme="1"/>
                </patternFill>
              </fill>
            </x14:dxf>
          </x14:cfRule>
          <xm:sqref>E58:F58</xm:sqref>
        </x14:conditionalFormatting>
        <x14:conditionalFormatting xmlns:xm="http://schemas.microsoft.com/office/excel/2006/main">
          <x14:cfRule type="expression" priority="113" id="{C9D46761-D8E4-48F3-B012-A0D4C1FB64D5}">
            <xm:f>'3. Getting Started'!$B$13="No"</xm:f>
            <x14:dxf>
              <fill>
                <patternFill>
                  <bgColor theme="1"/>
                </patternFill>
              </fill>
            </x14:dxf>
          </x14:cfRule>
          <xm:sqref>I55:J55</xm:sqref>
        </x14:conditionalFormatting>
        <x14:conditionalFormatting xmlns:xm="http://schemas.microsoft.com/office/excel/2006/main">
          <x14:cfRule type="expression" priority="112" id="{3A060168-AEF3-4A72-8A10-556C8A9CECBD}">
            <xm:f>'3. Getting Started'!$B$12="No"</xm:f>
            <x14:dxf>
              <fill>
                <patternFill>
                  <bgColor theme="1"/>
                </patternFill>
              </fill>
            </x14:dxf>
          </x14:cfRule>
          <xm:sqref>I56:J56</xm:sqref>
        </x14:conditionalFormatting>
        <x14:conditionalFormatting xmlns:xm="http://schemas.microsoft.com/office/excel/2006/main">
          <x14:cfRule type="expression" priority="111" id="{9E08D399-7A18-440C-9505-975F2AA8932F}">
            <xm:f>'3. Getting Started'!$B$11="No"</xm:f>
            <x14:dxf>
              <fill>
                <patternFill>
                  <bgColor theme="1"/>
                </patternFill>
              </fill>
            </x14:dxf>
          </x14:cfRule>
          <xm:sqref>I57:J57</xm:sqref>
        </x14:conditionalFormatting>
        <x14:conditionalFormatting xmlns:xm="http://schemas.microsoft.com/office/excel/2006/main">
          <x14:cfRule type="expression" priority="110" id="{B7934FDC-AA2F-4532-A127-A16A08395021}">
            <xm:f>'3. Getting Started'!$B$10="No"</xm:f>
            <x14:dxf>
              <fill>
                <patternFill>
                  <bgColor theme="1"/>
                </patternFill>
              </fill>
            </x14:dxf>
          </x14:cfRule>
          <xm:sqref>I58:J58</xm:sqref>
        </x14:conditionalFormatting>
        <x14:conditionalFormatting xmlns:xm="http://schemas.microsoft.com/office/excel/2006/main">
          <x14:cfRule type="expression" priority="103" id="{BEF04446-7D33-48A1-BF0B-01C25B12DD3C}">
            <xm:f>'3. Getting Started'!$B$9="No"</xm:f>
            <x14:dxf>
              <fill>
                <patternFill>
                  <bgColor theme="1"/>
                </patternFill>
              </fill>
            </x14:dxf>
          </x14:cfRule>
          <xm:sqref>M59:N59</xm:sqref>
        </x14:conditionalFormatting>
        <x14:conditionalFormatting xmlns:xm="http://schemas.microsoft.com/office/excel/2006/main">
          <x14:cfRule type="expression" priority="102" id="{F965A231-F955-420F-83DA-ACFA8BE3FB11}">
            <xm:f>'3. Getting Started'!$B$13="No"</xm:f>
            <x14:dxf>
              <fill>
                <patternFill>
                  <bgColor theme="1"/>
                </patternFill>
              </fill>
            </x14:dxf>
          </x14:cfRule>
          <xm:sqref>M55:N55</xm:sqref>
        </x14:conditionalFormatting>
        <x14:conditionalFormatting xmlns:xm="http://schemas.microsoft.com/office/excel/2006/main">
          <x14:cfRule type="expression" priority="101" id="{F503A027-36A1-4F0E-BFE2-C4B90700567C}">
            <xm:f>'3. Getting Started'!$B$12="No"</xm:f>
            <x14:dxf>
              <fill>
                <patternFill>
                  <bgColor theme="1"/>
                </patternFill>
              </fill>
            </x14:dxf>
          </x14:cfRule>
          <xm:sqref>M56:N56</xm:sqref>
        </x14:conditionalFormatting>
        <x14:conditionalFormatting xmlns:xm="http://schemas.microsoft.com/office/excel/2006/main">
          <x14:cfRule type="expression" priority="100" id="{F3CFC4B7-F259-4AFB-958C-47132A97EEAA}">
            <xm:f>'3. Getting Started'!$B$11="No"</xm:f>
            <x14:dxf>
              <fill>
                <patternFill>
                  <bgColor theme="1"/>
                </patternFill>
              </fill>
            </x14:dxf>
          </x14:cfRule>
          <xm:sqref>M57:N57</xm:sqref>
        </x14:conditionalFormatting>
        <x14:conditionalFormatting xmlns:xm="http://schemas.microsoft.com/office/excel/2006/main">
          <x14:cfRule type="expression" priority="99" id="{0578DA2F-BECC-4852-9DFB-2654996DF5CC}">
            <xm:f>'3. Getting Started'!$B$10="No"</xm:f>
            <x14:dxf>
              <fill>
                <patternFill>
                  <bgColor theme="1"/>
                </patternFill>
              </fill>
            </x14:dxf>
          </x14:cfRule>
          <xm:sqref>M58:N58</xm:sqref>
        </x14:conditionalFormatting>
        <x14:conditionalFormatting xmlns:xm="http://schemas.microsoft.com/office/excel/2006/main">
          <x14:cfRule type="expression" priority="822" id="{4C423803-8C7A-4DB4-8AB0-7D9B930BAA2E}">
            <xm:f>'3. Getting Started'!$B$6="No"</xm:f>
            <x14:dxf>
              <font>
                <color theme="1"/>
              </font>
              <fill>
                <patternFill>
                  <bgColor theme="1"/>
                </patternFill>
              </fill>
            </x14:dxf>
          </x14:cfRule>
          <xm:sqref>A3:C71</xm:sqref>
        </x14:conditionalFormatting>
        <x14:conditionalFormatting xmlns:xm="http://schemas.microsoft.com/office/excel/2006/main">
          <x14:cfRule type="expression" priority="4" id="{799AE839-50B3-4FCD-8CF8-A5B1C36AF686}">
            <xm:f>'3. Getting Started'!$B$6="No"</xm:f>
            <x14:dxf>
              <font>
                <color theme="1"/>
              </font>
              <fill>
                <patternFill>
                  <bgColor theme="1"/>
                </patternFill>
              </fill>
            </x14:dxf>
          </x14:cfRule>
          <xm:sqref>I3:K75</xm:sqref>
        </x14:conditionalFormatting>
        <x14:conditionalFormatting xmlns:xm="http://schemas.microsoft.com/office/excel/2006/main">
          <x14:cfRule type="expression" priority="2" id="{5B493D2B-094A-443E-B8EB-56973F745A66}">
            <xm:f>'3. Getting Started'!$B$9="No"</xm:f>
            <x14:dxf>
              <fill>
                <patternFill>
                  <bgColor theme="1"/>
                </patternFill>
              </fill>
            </x14:dxf>
          </x14:cfRule>
          <xm:sqref>A59:B59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autoPageBreaks="0"/>
  </sheetPr>
  <dimension ref="A1:AB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7" width="24.75" style="83" customWidth="1"/>
    <col min="8" max="8" width="35.25" style="83" customWidth="1"/>
    <col min="9" max="9" width="28.75" style="83" bestFit="1" customWidth="1"/>
    <col min="10" max="12" width="24.75" style="83" customWidth="1"/>
    <col min="13" max="13" width="29.75" style="83" bestFit="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19" t="s">
        <v>115</v>
      </c>
      <c r="D1" s="468" t="s">
        <v>254</v>
      </c>
      <c r="E1" s="83" t="str">
        <f>IF('3. Getting Started'!B2="","",'3. Getting Started'!B2)</f>
        <v/>
      </c>
      <c r="K1" s="468" t="s">
        <v>254</v>
      </c>
      <c r="L1" s="83" t="str">
        <f>IF('3. Getting Started'!B2="","",'3. Getting Started'!B2)</f>
        <v/>
      </c>
    </row>
    <row r="2" spans="1:20" ht="25.9" customHeight="1" thickBot="1" x14ac:dyDescent="0.3">
      <c r="A2" s="346" t="s">
        <v>241</v>
      </c>
      <c r="B2" s="207"/>
      <c r="C2" s="207"/>
      <c r="D2" s="207"/>
      <c r="E2" s="207"/>
      <c r="F2" s="212"/>
      <c r="G2" s="156"/>
      <c r="H2" s="346" t="s">
        <v>237</v>
      </c>
      <c r="I2" s="207"/>
      <c r="J2" s="207"/>
      <c r="K2" s="207"/>
      <c r="L2" s="207"/>
      <c r="M2" s="212"/>
      <c r="N2" s="348"/>
      <c r="O2" s="123"/>
      <c r="P2" s="123"/>
      <c r="Q2" s="123"/>
      <c r="R2" s="123"/>
      <c r="S2" s="123"/>
      <c r="T2" s="123"/>
    </row>
    <row r="3" spans="1:20" x14ac:dyDescent="0.25">
      <c r="A3" s="46" t="s">
        <v>226</v>
      </c>
      <c r="B3" s="47"/>
      <c r="C3" s="48"/>
      <c r="D3" s="48"/>
      <c r="E3" s="48"/>
      <c r="F3" s="49"/>
      <c r="G3" s="50"/>
      <c r="H3" s="46" t="s">
        <v>226</v>
      </c>
      <c r="I3" s="47"/>
      <c r="J3" s="48"/>
      <c r="K3" s="48"/>
      <c r="L3" s="48"/>
      <c r="M3" s="49"/>
      <c r="N3" s="124"/>
      <c r="O3" s="124"/>
      <c r="P3" s="124"/>
      <c r="Q3" s="124"/>
      <c r="R3" s="124"/>
      <c r="S3" s="124"/>
    </row>
    <row r="4" spans="1:20" x14ac:dyDescent="0.25">
      <c r="A4" s="51" t="s">
        <v>236</v>
      </c>
      <c r="B4" s="52"/>
      <c r="C4" s="50"/>
      <c r="D4" s="50"/>
      <c r="E4" s="50"/>
      <c r="F4" s="53"/>
      <c r="G4" s="50"/>
      <c r="H4" s="51" t="s">
        <v>236</v>
      </c>
      <c r="I4" s="52"/>
      <c r="J4" s="50"/>
      <c r="K4" s="50"/>
      <c r="L4" s="50"/>
      <c r="M4" s="53"/>
      <c r="N4" s="55"/>
      <c r="O4" s="55"/>
      <c r="P4" s="55"/>
      <c r="Q4" s="55"/>
      <c r="R4" s="55"/>
    </row>
    <row r="5" spans="1:20" ht="35.65" customHeight="1" thickBot="1" x14ac:dyDescent="0.3">
      <c r="A5" s="157" t="s">
        <v>21</v>
      </c>
      <c r="B5" s="54"/>
      <c r="C5" s="54"/>
      <c r="D5" s="54"/>
      <c r="E5" s="54"/>
      <c r="F5" s="147"/>
      <c r="G5" s="54"/>
      <c r="H5" s="157" t="s">
        <v>21</v>
      </c>
      <c r="I5" s="54"/>
      <c r="J5" s="54"/>
      <c r="K5" s="54"/>
      <c r="L5" s="54"/>
      <c r="M5" s="147"/>
      <c r="N5" s="55"/>
      <c r="O5" s="55"/>
      <c r="P5" s="55"/>
      <c r="Q5" s="55"/>
      <c r="R5" s="55"/>
      <c r="S5" s="55"/>
    </row>
    <row r="6" spans="1:20" x14ac:dyDescent="0.25">
      <c r="A6" s="56" t="s">
        <v>22</v>
      </c>
      <c r="B6" s="57" t="s">
        <v>23</v>
      </c>
      <c r="C6" s="58" t="s">
        <v>24</v>
      </c>
      <c r="D6" s="58" t="s">
        <v>94</v>
      </c>
      <c r="E6" s="59" t="s">
        <v>95</v>
      </c>
      <c r="F6" s="148" t="s">
        <v>173</v>
      </c>
      <c r="G6" s="60"/>
      <c r="H6" s="56" t="s">
        <v>22</v>
      </c>
      <c r="I6" s="57" t="s">
        <v>23</v>
      </c>
      <c r="J6" s="58" t="s">
        <v>24</v>
      </c>
      <c r="K6" s="58" t="s">
        <v>94</v>
      </c>
      <c r="L6" s="59" t="s">
        <v>95</v>
      </c>
      <c r="M6" s="148" t="s">
        <v>174</v>
      </c>
      <c r="N6" s="55"/>
      <c r="O6" s="55"/>
    </row>
    <row r="7" spans="1:20" x14ac:dyDescent="0.25">
      <c r="A7" s="23"/>
      <c r="B7" s="20"/>
      <c r="C7" s="20"/>
      <c r="D7" s="21"/>
      <c r="E7" s="21"/>
      <c r="F7" s="63">
        <f>D7+E7</f>
        <v>0</v>
      </c>
      <c r="G7" s="64"/>
      <c r="H7" s="23"/>
      <c r="I7" s="20"/>
      <c r="J7" s="20"/>
      <c r="K7" s="21"/>
      <c r="L7" s="21"/>
      <c r="M7" s="63">
        <f>K7+L7</f>
        <v>0</v>
      </c>
      <c r="N7" s="64"/>
      <c r="O7" s="64"/>
    </row>
    <row r="8" spans="1:20" x14ac:dyDescent="0.25">
      <c r="A8" s="23"/>
      <c r="B8" s="20"/>
      <c r="C8" s="20"/>
      <c r="D8" s="21"/>
      <c r="E8" s="21"/>
      <c r="F8" s="63">
        <f>D8+E8</f>
        <v>0</v>
      </c>
      <c r="G8" s="64"/>
      <c r="H8" s="23"/>
      <c r="I8" s="20"/>
      <c r="J8" s="20"/>
      <c r="K8" s="21"/>
      <c r="L8" s="21"/>
      <c r="M8" s="63">
        <f>K8+L8</f>
        <v>0</v>
      </c>
      <c r="N8" s="64"/>
      <c r="O8" s="64"/>
    </row>
    <row r="9" spans="1:20" x14ac:dyDescent="0.25">
      <c r="A9" s="23"/>
      <c r="B9" s="20"/>
      <c r="C9" s="20"/>
      <c r="D9" s="21"/>
      <c r="E9" s="21"/>
      <c r="F9" s="63">
        <f>D9+E9</f>
        <v>0</v>
      </c>
      <c r="G9" s="64"/>
      <c r="H9" s="23"/>
      <c r="I9" s="20"/>
      <c r="J9" s="20"/>
      <c r="K9" s="21"/>
      <c r="L9" s="21"/>
      <c r="M9" s="63">
        <f>K9+L9</f>
        <v>0</v>
      </c>
      <c r="N9" s="64"/>
      <c r="O9" s="64"/>
    </row>
    <row r="10" spans="1:20" x14ac:dyDescent="0.25">
      <c r="A10" s="23"/>
      <c r="B10" s="20"/>
      <c r="C10" s="20"/>
      <c r="D10" s="21"/>
      <c r="E10" s="21"/>
      <c r="F10" s="63">
        <f>D10+E10</f>
        <v>0</v>
      </c>
      <c r="G10" s="64"/>
      <c r="H10" s="23"/>
      <c r="I10" s="20"/>
      <c r="J10" s="20"/>
      <c r="K10" s="21"/>
      <c r="L10" s="21"/>
      <c r="M10" s="63">
        <f>K10+L10</f>
        <v>0</v>
      </c>
      <c r="N10" s="64"/>
      <c r="O10" s="64"/>
    </row>
    <row r="11" spans="1:20" x14ac:dyDescent="0.25">
      <c r="A11" s="23"/>
      <c r="B11" s="20"/>
      <c r="C11" s="20"/>
      <c r="D11" s="21"/>
      <c r="E11" s="21"/>
      <c r="F11" s="63">
        <f>D11+E11</f>
        <v>0</v>
      </c>
      <c r="G11" s="64"/>
      <c r="H11" s="23"/>
      <c r="I11" s="20"/>
      <c r="J11" s="20"/>
      <c r="K11" s="21"/>
      <c r="L11" s="21"/>
      <c r="M11" s="63">
        <f>K11+L11</f>
        <v>0</v>
      </c>
      <c r="N11" s="64"/>
      <c r="O11" s="64"/>
    </row>
    <row r="12" spans="1:20" ht="16.5" thickBot="1" x14ac:dyDescent="0.3">
      <c r="A12" s="65"/>
      <c r="B12" s="66"/>
      <c r="C12" s="67" t="s">
        <v>25</v>
      </c>
      <c r="D12" s="68">
        <f t="shared" ref="D12:F12" si="0">SUM(D7:D11)</f>
        <v>0</v>
      </c>
      <c r="E12" s="68">
        <f t="shared" si="0"/>
        <v>0</v>
      </c>
      <c r="F12" s="69">
        <f t="shared" si="0"/>
        <v>0</v>
      </c>
      <c r="G12" s="64"/>
      <c r="H12" s="65"/>
      <c r="I12" s="66"/>
      <c r="J12" s="67" t="s">
        <v>25</v>
      </c>
      <c r="K12" s="68">
        <f t="shared" ref="K12:M12" si="1">SUM(K7:K11)</f>
        <v>0</v>
      </c>
      <c r="L12" s="68">
        <f t="shared" si="1"/>
        <v>0</v>
      </c>
      <c r="M12" s="69">
        <f t="shared" si="1"/>
        <v>0</v>
      </c>
      <c r="N12" s="64"/>
      <c r="O12" s="64"/>
    </row>
    <row r="13" spans="1:20" ht="40.15" customHeight="1" thickBot="1" x14ac:dyDescent="0.3">
      <c r="A13" s="158" t="s">
        <v>26</v>
      </c>
      <c r="B13" s="42"/>
      <c r="C13" s="42"/>
      <c r="D13" s="42"/>
      <c r="E13" s="42"/>
      <c r="F13" s="149"/>
      <c r="G13" s="54"/>
      <c r="H13" s="158" t="s">
        <v>26</v>
      </c>
      <c r="I13" s="42"/>
      <c r="J13" s="42"/>
      <c r="K13" s="42"/>
      <c r="L13" s="42"/>
      <c r="M13" s="149"/>
      <c r="N13" s="55"/>
      <c r="O13" s="55"/>
      <c r="P13" s="55"/>
      <c r="Q13" s="55"/>
      <c r="R13" s="55"/>
      <c r="S13" s="70"/>
    </row>
    <row r="14" spans="1:20" x14ac:dyDescent="0.25">
      <c r="A14" s="71" t="s">
        <v>22</v>
      </c>
      <c r="B14" s="72" t="s">
        <v>23</v>
      </c>
      <c r="C14" s="73" t="s">
        <v>63</v>
      </c>
      <c r="D14" s="58" t="s">
        <v>94</v>
      </c>
      <c r="E14" s="59" t="s">
        <v>95</v>
      </c>
      <c r="F14" s="148" t="s">
        <v>173</v>
      </c>
      <c r="G14" s="74"/>
      <c r="H14" s="71" t="s">
        <v>22</v>
      </c>
      <c r="I14" s="72" t="s">
        <v>23</v>
      </c>
      <c r="J14" s="73" t="s">
        <v>63</v>
      </c>
      <c r="K14" s="58" t="s">
        <v>94</v>
      </c>
      <c r="L14" s="59" t="s">
        <v>95</v>
      </c>
      <c r="M14" s="148" t="s">
        <v>174</v>
      </c>
      <c r="N14" s="123"/>
      <c r="O14" s="125"/>
    </row>
    <row r="15" spans="1:20" x14ac:dyDescent="0.25">
      <c r="A15" s="24"/>
      <c r="B15" s="39"/>
      <c r="C15" s="466"/>
      <c r="D15" s="21"/>
      <c r="E15" s="21"/>
      <c r="F15" s="63">
        <f t="shared" ref="F15:F19" si="2">D15+E15</f>
        <v>0</v>
      </c>
      <c r="G15" s="64"/>
      <c r="H15" s="24"/>
      <c r="I15" s="39"/>
      <c r="J15" s="466"/>
      <c r="K15" s="21"/>
      <c r="L15" s="21"/>
      <c r="M15" s="63">
        <f t="shared" ref="M15:M19" si="3">K15+L15</f>
        <v>0</v>
      </c>
      <c r="N15" s="64"/>
      <c r="O15" s="64"/>
    </row>
    <row r="16" spans="1:20" x14ac:dyDescent="0.25">
      <c r="A16" s="24"/>
      <c r="B16" s="39"/>
      <c r="C16" s="466"/>
      <c r="D16" s="21"/>
      <c r="E16" s="21"/>
      <c r="F16" s="63">
        <f t="shared" si="2"/>
        <v>0</v>
      </c>
      <c r="G16" s="64"/>
      <c r="H16" s="24"/>
      <c r="I16" s="39"/>
      <c r="J16" s="466"/>
      <c r="K16" s="21"/>
      <c r="L16" s="21"/>
      <c r="M16" s="63">
        <f t="shared" si="3"/>
        <v>0</v>
      </c>
      <c r="N16" s="64"/>
      <c r="O16" s="64"/>
    </row>
    <row r="17" spans="1:19" x14ac:dyDescent="0.25">
      <c r="A17" s="24"/>
      <c r="B17" s="39"/>
      <c r="C17" s="466"/>
      <c r="D17" s="21"/>
      <c r="E17" s="21"/>
      <c r="F17" s="63">
        <f t="shared" si="2"/>
        <v>0</v>
      </c>
      <c r="G17" s="64"/>
      <c r="H17" s="24"/>
      <c r="I17" s="39"/>
      <c r="J17" s="466"/>
      <c r="K17" s="21"/>
      <c r="L17" s="21"/>
      <c r="M17" s="63">
        <f t="shared" si="3"/>
        <v>0</v>
      </c>
      <c r="N17" s="64"/>
      <c r="O17" s="64"/>
    </row>
    <row r="18" spans="1:19" x14ac:dyDescent="0.25">
      <c r="A18" s="24"/>
      <c r="B18" s="39"/>
      <c r="C18" s="466"/>
      <c r="D18" s="21"/>
      <c r="E18" s="21"/>
      <c r="F18" s="63">
        <f t="shared" si="2"/>
        <v>0</v>
      </c>
      <c r="G18" s="64"/>
      <c r="H18" s="24"/>
      <c r="I18" s="39"/>
      <c r="J18" s="466"/>
      <c r="K18" s="21"/>
      <c r="L18" s="21"/>
      <c r="M18" s="63">
        <f t="shared" si="3"/>
        <v>0</v>
      </c>
      <c r="N18" s="64"/>
      <c r="O18" s="64"/>
    </row>
    <row r="19" spans="1:19" x14ac:dyDescent="0.25">
      <c r="A19" s="24"/>
      <c r="B19" s="39"/>
      <c r="C19" s="466"/>
      <c r="D19" s="21"/>
      <c r="E19" s="21"/>
      <c r="F19" s="63">
        <f t="shared" si="2"/>
        <v>0</v>
      </c>
      <c r="G19" s="64"/>
      <c r="H19" s="24"/>
      <c r="I19" s="39"/>
      <c r="J19" s="466"/>
      <c r="K19" s="21"/>
      <c r="L19" s="21"/>
      <c r="M19" s="63">
        <f t="shared" si="3"/>
        <v>0</v>
      </c>
      <c r="N19" s="64"/>
      <c r="O19" s="64"/>
    </row>
    <row r="20" spans="1:19" x14ac:dyDescent="0.25">
      <c r="A20" s="159"/>
      <c r="B20" s="160"/>
      <c r="C20" s="161" t="s">
        <v>27</v>
      </c>
      <c r="D20" s="62">
        <f t="shared" ref="D20:F20" si="4">SUM(D15:D19)</f>
        <v>0</v>
      </c>
      <c r="E20" s="62">
        <f t="shared" si="4"/>
        <v>0</v>
      </c>
      <c r="F20" s="63">
        <f t="shared" si="4"/>
        <v>0</v>
      </c>
      <c r="G20" s="64"/>
      <c r="H20" s="159"/>
      <c r="I20" s="160"/>
      <c r="J20" s="161" t="s">
        <v>27</v>
      </c>
      <c r="K20" s="62">
        <f t="shared" ref="K20:M20" si="5">SUM(K15:K19)</f>
        <v>0</v>
      </c>
      <c r="L20" s="62">
        <f t="shared" si="5"/>
        <v>0</v>
      </c>
      <c r="M20" s="63">
        <f t="shared" si="5"/>
        <v>0</v>
      </c>
      <c r="N20" s="64"/>
      <c r="O20" s="64"/>
    </row>
    <row r="21" spans="1:19" ht="16.5" thickBot="1" x14ac:dyDescent="0.3">
      <c r="A21" s="192"/>
      <c r="B21" s="193"/>
      <c r="C21" s="331"/>
      <c r="D21" s="331"/>
      <c r="E21" s="332" t="s">
        <v>182</v>
      </c>
      <c r="F21" s="322">
        <f>F12-F20</f>
        <v>0</v>
      </c>
      <c r="G21" s="77"/>
      <c r="H21" s="192"/>
      <c r="I21" s="193"/>
      <c r="J21" s="193"/>
      <c r="K21" s="194"/>
      <c r="L21" s="332" t="s">
        <v>28</v>
      </c>
      <c r="M21" s="322">
        <f>M12-M20</f>
        <v>0</v>
      </c>
      <c r="N21" s="70"/>
      <c r="O21" s="70"/>
      <c r="P21" s="70"/>
      <c r="Q21" s="70"/>
      <c r="R21" s="70"/>
      <c r="S21" s="70"/>
    </row>
    <row r="22" spans="1:19" ht="16.5" thickBot="1" x14ac:dyDescent="0.3">
      <c r="A22" s="499" t="s">
        <v>219</v>
      </c>
      <c r="B22" s="499"/>
      <c r="C22" s="499"/>
      <c r="D22" s="499"/>
      <c r="E22" s="499"/>
      <c r="F22" s="499"/>
      <c r="G22" s="78"/>
      <c r="H22" s="499" t="s">
        <v>219</v>
      </c>
      <c r="I22" s="499"/>
      <c r="J22" s="499"/>
      <c r="K22" s="499"/>
      <c r="L22" s="499"/>
      <c r="M22" s="499"/>
      <c r="N22" s="70"/>
      <c r="O22" s="70"/>
      <c r="P22" s="70"/>
      <c r="Q22" s="70"/>
      <c r="R22" s="70"/>
      <c r="S22" s="70"/>
    </row>
    <row r="23" spans="1:19" x14ac:dyDescent="0.25">
      <c r="A23" s="79" t="s">
        <v>227</v>
      </c>
      <c r="B23" s="43"/>
      <c r="C23" s="43"/>
      <c r="D23" s="43"/>
      <c r="E23" s="80"/>
      <c r="F23" s="1" t="s">
        <v>104</v>
      </c>
      <c r="G23" s="78"/>
      <c r="H23" s="79" t="s">
        <v>227</v>
      </c>
      <c r="I23" s="43"/>
      <c r="J23" s="43"/>
      <c r="K23" s="43"/>
      <c r="L23" s="80"/>
      <c r="M23" s="1" t="s">
        <v>104</v>
      </c>
    </row>
    <row r="24" spans="1:19"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row>
    <row r="25" spans="1:19" x14ac:dyDescent="0.25">
      <c r="A25" s="335" t="str">
        <f>IF(B31="","Projected Reduction",IF(B31&lt;0,"Projected Reduction",IF(B31&gt;=0,"Not eligible for this exception","Projected Reduction")))</f>
        <v>Projected Reduction</v>
      </c>
      <c r="B25" s="329"/>
      <c r="C25" s="329"/>
      <c r="D25" s="329"/>
      <c r="E25" s="330"/>
      <c r="F25" s="199" t="s">
        <v>106</v>
      </c>
      <c r="G25" s="78"/>
      <c r="H25" s="335" t="str">
        <f>IF(I31="","Allowed Reduction",IF(I31&lt;0,"Allowed Reduction",IF(I31&gt;=0,"Not eligible for this exception","Allowed Reduction")))</f>
        <v>Allowed Reduction</v>
      </c>
      <c r="I25" s="329"/>
      <c r="J25" s="329"/>
      <c r="K25" s="329"/>
      <c r="L25" s="330"/>
      <c r="M25" s="199" t="s">
        <v>106</v>
      </c>
      <c r="N25" s="82"/>
      <c r="O25" s="82"/>
    </row>
    <row r="26" spans="1:19" ht="16.5" thickBot="1" x14ac:dyDescent="0.3">
      <c r="A26" s="500" t="s">
        <v>219</v>
      </c>
      <c r="B26" s="500"/>
      <c r="C26" s="500"/>
      <c r="D26" s="500"/>
      <c r="E26" s="500"/>
      <c r="F26" s="199" t="s">
        <v>107</v>
      </c>
      <c r="G26" s="78"/>
      <c r="H26" s="498" t="s">
        <v>219</v>
      </c>
      <c r="I26" s="498"/>
      <c r="J26" s="498"/>
      <c r="K26" s="78"/>
      <c r="L26" s="78"/>
      <c r="M26" s="199" t="s">
        <v>107</v>
      </c>
      <c r="N26" s="87"/>
      <c r="O26" s="87"/>
      <c r="P26" s="87"/>
    </row>
    <row r="27" spans="1:19" x14ac:dyDescent="0.25">
      <c r="A27" s="79" t="s">
        <v>228</v>
      </c>
      <c r="B27" s="43"/>
      <c r="C27" s="43"/>
      <c r="D27" s="156"/>
      <c r="E27" s="81"/>
      <c r="F27" s="81"/>
      <c r="G27" s="45"/>
      <c r="H27" s="79" t="s">
        <v>228</v>
      </c>
      <c r="I27" s="43"/>
      <c r="J27" s="43"/>
      <c r="K27" s="156"/>
      <c r="L27" s="81"/>
      <c r="M27" s="81"/>
      <c r="N27" s="87"/>
      <c r="O27" s="87"/>
      <c r="P27" s="87"/>
      <c r="Q27" s="87"/>
    </row>
    <row r="28" spans="1:19" x14ac:dyDescent="0.25">
      <c r="A28" s="84" t="s">
        <v>63</v>
      </c>
      <c r="B28" s="85" t="s">
        <v>64</v>
      </c>
      <c r="C28" s="86"/>
      <c r="D28" s="196"/>
      <c r="E28" s="86"/>
      <c r="F28" s="86"/>
      <c r="G28" s="45"/>
      <c r="H28" s="84" t="s">
        <v>63</v>
      </c>
      <c r="I28" s="85" t="s">
        <v>64</v>
      </c>
      <c r="J28" s="86"/>
      <c r="K28" s="196"/>
      <c r="L28" s="86"/>
      <c r="M28" s="86"/>
      <c r="N28" s="87"/>
      <c r="O28" s="87"/>
      <c r="P28" s="87"/>
      <c r="Q28" s="87"/>
    </row>
    <row r="29" spans="1:19" x14ac:dyDescent="0.25">
      <c r="A29" s="88" t="s">
        <v>79</v>
      </c>
      <c r="B29" s="402" t="str">
        <f>IF('5. 15-16 Amounts'!B1="","",'5. 15-16 Amounts'!B1)</f>
        <v/>
      </c>
      <c r="C29" s="86"/>
      <c r="D29" s="196"/>
      <c r="E29" s="86"/>
      <c r="F29" s="86"/>
      <c r="G29" s="45"/>
      <c r="H29" s="88" t="s">
        <v>79</v>
      </c>
      <c r="I29" s="402" t="str">
        <f>IF('5. 15-16 Amounts'!I1="","",'5. 15-16 Amounts'!I1)</f>
        <v/>
      </c>
      <c r="J29" s="86"/>
      <c r="K29" s="196"/>
      <c r="L29" s="86"/>
      <c r="M29" s="86"/>
      <c r="N29" s="87"/>
      <c r="O29" s="87"/>
      <c r="P29" s="87"/>
      <c r="Q29" s="87"/>
    </row>
    <row r="30" spans="1:19" x14ac:dyDescent="0.25">
      <c r="A30" s="89" t="s">
        <v>80</v>
      </c>
      <c r="B30" s="402" t="str">
        <f>IF('4. Multi-Year MOE Summary'!C7="","",'4. Multi-Year MOE Summary'!C7)</f>
        <v/>
      </c>
      <c r="C30" s="87"/>
      <c r="D30" s="197"/>
      <c r="E30" s="87"/>
      <c r="F30" s="86"/>
      <c r="G30" s="86"/>
      <c r="H30" s="89" t="s">
        <v>80</v>
      </c>
      <c r="I30" s="402" t="str">
        <f>IF('4. Multi-Year MOE Summary'!C7="","",'4. Multi-Year MOE Summary'!C7)</f>
        <v/>
      </c>
      <c r="J30" s="87"/>
      <c r="K30" s="197"/>
      <c r="L30" s="87"/>
      <c r="M30" s="86"/>
      <c r="N30" s="93"/>
      <c r="O30" s="93"/>
      <c r="P30" s="93"/>
      <c r="Q30" s="93"/>
    </row>
    <row r="31" spans="1:19"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7"/>
      <c r="O31" s="97"/>
      <c r="P31" s="97"/>
      <c r="Q31" s="97"/>
    </row>
    <row r="32" spans="1:19" x14ac:dyDescent="0.25">
      <c r="A32" s="94" t="s">
        <v>68</v>
      </c>
      <c r="B32" s="95" t="str">
        <f>IF(B31&lt;=0,ABS(B31/B30),"")</f>
        <v/>
      </c>
      <c r="C32" s="96"/>
      <c r="D32" s="198"/>
      <c r="E32" s="96"/>
      <c r="F32" s="78"/>
      <c r="G32" s="78"/>
      <c r="H32" s="94" t="s">
        <v>68</v>
      </c>
      <c r="I32" s="95" t="str">
        <f>IF(I31&lt;=0,ABS(I31/I30),"")</f>
        <v/>
      </c>
      <c r="J32" s="96"/>
      <c r="K32" s="198"/>
      <c r="L32" s="96"/>
      <c r="M32" s="78"/>
      <c r="N32" s="98"/>
      <c r="O32" s="98"/>
      <c r="P32" s="99"/>
      <c r="Q32" s="99"/>
    </row>
    <row r="33" spans="1:28" x14ac:dyDescent="0.25">
      <c r="A33" s="185" t="s">
        <v>63</v>
      </c>
      <c r="B33" s="186" t="s">
        <v>34</v>
      </c>
      <c r="C33" s="186" t="s">
        <v>0</v>
      </c>
      <c r="D33" s="78"/>
      <c r="E33" s="52"/>
      <c r="F33" s="52"/>
      <c r="G33" s="78"/>
      <c r="H33" s="185" t="s">
        <v>63</v>
      </c>
      <c r="I33" s="186" t="s">
        <v>34</v>
      </c>
      <c r="J33" s="186" t="s">
        <v>0</v>
      </c>
      <c r="K33" s="78"/>
      <c r="L33" s="52"/>
      <c r="M33" s="52"/>
      <c r="N33" s="99"/>
      <c r="O33" s="99"/>
    </row>
    <row r="34" spans="1:28" x14ac:dyDescent="0.25">
      <c r="A34" s="188" t="s">
        <v>81</v>
      </c>
      <c r="B34" s="100" t="str">
        <f>IF(B31&gt;=0,"",IF('3. Getting Started'!B7="No","",'4. Multi-Year MOE Summary'!D7))</f>
        <v/>
      </c>
      <c r="C34" s="100" t="str">
        <f>IF(B31&gt;=0,"",IF('3. Getting Started'!B7="No","",'4. Multi-Year MOE Summary'!F7))</f>
        <v/>
      </c>
      <c r="D34" s="213"/>
      <c r="E34" s="55"/>
      <c r="F34" s="55"/>
      <c r="G34" s="52"/>
      <c r="H34" s="188" t="s">
        <v>81</v>
      </c>
      <c r="I34" s="100" t="str">
        <f>IF(I31&gt;=0,"",IF('3. Getting Started'!B7="No","",'4. Multi-Year MOE Summary'!D7))</f>
        <v/>
      </c>
      <c r="J34" s="100" t="str">
        <f>IF(I31&gt;=0,"",IF('3. Getting Started'!B7="No","",'4. Multi-Year MOE Summary'!F7))</f>
        <v/>
      </c>
      <c r="K34" s="101"/>
      <c r="L34" s="55"/>
      <c r="M34" s="55"/>
    </row>
    <row r="35" spans="1:28"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row>
    <row r="36" spans="1:28" ht="16.5" thickBot="1" x14ac:dyDescent="0.3">
      <c r="A36" s="498" t="s">
        <v>219</v>
      </c>
      <c r="B36" s="498"/>
      <c r="C36" s="498"/>
      <c r="D36" s="86"/>
      <c r="E36" s="86"/>
      <c r="F36" s="86"/>
      <c r="G36" s="103"/>
      <c r="H36" s="498" t="s">
        <v>219</v>
      </c>
      <c r="I36" s="498"/>
      <c r="J36" s="498"/>
      <c r="K36" s="86"/>
      <c r="L36" s="86"/>
      <c r="M36" s="86"/>
      <c r="P36" s="82"/>
      <c r="Q36" s="82"/>
      <c r="R36" s="82"/>
      <c r="S36" s="82"/>
      <c r="T36" s="82"/>
      <c r="U36" s="55"/>
      <c r="V36" s="82"/>
      <c r="W36" s="82"/>
      <c r="X36" s="82"/>
      <c r="Y36" s="82"/>
      <c r="Z36" s="82"/>
      <c r="AA36" s="82"/>
    </row>
    <row r="37" spans="1:28" x14ac:dyDescent="0.25">
      <c r="A37" s="79" t="s">
        <v>229</v>
      </c>
      <c r="B37" s="105"/>
      <c r="C37" s="106"/>
      <c r="D37" s="107"/>
      <c r="E37" s="91"/>
      <c r="F37" s="91"/>
      <c r="G37" s="103"/>
      <c r="H37" s="79" t="s">
        <v>229</v>
      </c>
      <c r="I37" s="105"/>
      <c r="J37" s="106"/>
      <c r="K37" s="107"/>
      <c r="L37" s="91"/>
      <c r="M37" s="91"/>
      <c r="P37" s="82"/>
      <c r="Q37" s="82"/>
      <c r="R37" s="82"/>
      <c r="S37" s="82"/>
      <c r="T37" s="82"/>
      <c r="U37" s="82"/>
      <c r="V37" s="82"/>
      <c r="W37" s="82"/>
      <c r="X37" s="82"/>
      <c r="Y37" s="82"/>
      <c r="Z37" s="82"/>
      <c r="AA37" s="82"/>
    </row>
    <row r="38" spans="1:28" x14ac:dyDescent="0.25">
      <c r="A38" s="110" t="s">
        <v>231</v>
      </c>
      <c r="B38" s="52"/>
      <c r="C38" s="114"/>
      <c r="D38" s="76"/>
      <c r="E38" s="78"/>
      <c r="F38" s="78"/>
      <c r="G38" s="103"/>
      <c r="H38" s="110" t="s">
        <v>231</v>
      </c>
      <c r="I38" s="52"/>
      <c r="J38" s="114"/>
      <c r="K38" s="76"/>
      <c r="L38" s="78"/>
      <c r="M38" s="78"/>
      <c r="P38" s="55"/>
      <c r="Q38" s="55"/>
      <c r="R38" s="55"/>
      <c r="S38" s="55"/>
      <c r="T38" s="55"/>
      <c r="U38" s="55"/>
      <c r="V38" s="55"/>
      <c r="W38" s="55"/>
      <c r="X38" s="55"/>
      <c r="Y38" s="55"/>
      <c r="Z38" s="55"/>
      <c r="AA38" s="55"/>
    </row>
    <row r="39" spans="1:28" x14ac:dyDescent="0.25">
      <c r="A39" s="162" t="s">
        <v>230</v>
      </c>
      <c r="B39" s="52"/>
      <c r="C39" s="111"/>
      <c r="D39" s="76"/>
      <c r="E39" s="78"/>
      <c r="F39" s="78"/>
      <c r="G39" s="103"/>
      <c r="H39" s="162" t="s">
        <v>230</v>
      </c>
      <c r="I39" s="52"/>
      <c r="J39" s="111"/>
      <c r="K39" s="76"/>
      <c r="L39" s="78"/>
      <c r="M39" s="78"/>
      <c r="Q39" s="55"/>
      <c r="R39" s="55"/>
      <c r="S39" s="55"/>
      <c r="T39" s="55"/>
      <c r="U39" s="55"/>
      <c r="V39" s="55"/>
      <c r="W39" s="55"/>
      <c r="X39" s="55"/>
      <c r="Y39" s="55"/>
      <c r="Z39" s="55"/>
      <c r="AA39" s="55"/>
      <c r="AB39" s="55"/>
    </row>
    <row r="40" spans="1:28" x14ac:dyDescent="0.25">
      <c r="A40" s="163" t="s">
        <v>62</v>
      </c>
      <c r="B40" s="112" t="s">
        <v>29</v>
      </c>
      <c r="C40" s="164" t="s">
        <v>175</v>
      </c>
      <c r="D40" s="82"/>
      <c r="E40" s="103"/>
      <c r="F40" s="103"/>
      <c r="G40" s="104"/>
      <c r="H40" s="163" t="s">
        <v>62</v>
      </c>
      <c r="I40" s="112" t="s">
        <v>29</v>
      </c>
      <c r="J40" s="164" t="s">
        <v>178</v>
      </c>
      <c r="K40" s="82"/>
      <c r="L40" s="103"/>
      <c r="M40" s="103"/>
      <c r="P40" s="70"/>
      <c r="Q40" s="70"/>
      <c r="R40" s="70"/>
      <c r="S40" s="70"/>
      <c r="T40" s="70"/>
      <c r="U40" s="70"/>
      <c r="V40" s="70"/>
      <c r="W40" s="70"/>
      <c r="X40" s="70"/>
      <c r="Y40" s="70"/>
      <c r="Z40" s="70"/>
      <c r="AA40" s="70"/>
    </row>
    <row r="41" spans="1:28" x14ac:dyDescent="0.25">
      <c r="A41" s="165"/>
      <c r="B41" s="127"/>
      <c r="C41" s="166"/>
      <c r="D41" s="103"/>
      <c r="E41" s="103"/>
      <c r="F41" s="103"/>
      <c r="G41" s="104"/>
      <c r="H41" s="165"/>
      <c r="I41" s="127"/>
      <c r="J41" s="166"/>
      <c r="K41" s="103"/>
      <c r="L41" s="103"/>
      <c r="M41" s="103"/>
      <c r="P41" s="70"/>
      <c r="Q41" s="70"/>
      <c r="R41" s="70"/>
      <c r="S41" s="70"/>
      <c r="T41" s="70"/>
      <c r="U41" s="70"/>
      <c r="V41" s="70"/>
      <c r="W41" s="70"/>
      <c r="X41" s="70"/>
      <c r="Y41" s="70"/>
      <c r="Z41" s="70"/>
      <c r="AA41" s="70"/>
    </row>
    <row r="42" spans="1:28" x14ac:dyDescent="0.25">
      <c r="A42" s="165"/>
      <c r="B42" s="127"/>
      <c r="C42" s="166"/>
      <c r="D42" s="103"/>
      <c r="E42" s="52"/>
      <c r="F42" s="52"/>
      <c r="G42" s="52"/>
      <c r="H42" s="165"/>
      <c r="I42" s="127"/>
      <c r="J42" s="166"/>
      <c r="K42" s="103"/>
      <c r="L42" s="52"/>
      <c r="M42" s="52"/>
      <c r="P42" s="70"/>
      <c r="Q42" s="70"/>
      <c r="R42" s="70"/>
      <c r="S42" s="70"/>
      <c r="T42" s="70"/>
      <c r="U42" s="70"/>
      <c r="V42" s="70"/>
      <c r="W42" s="70"/>
      <c r="X42" s="70"/>
      <c r="Y42" s="70"/>
      <c r="Z42" s="70"/>
      <c r="AA42" s="70"/>
    </row>
    <row r="43" spans="1:28" x14ac:dyDescent="0.25">
      <c r="A43" s="165"/>
      <c r="B43" s="127"/>
      <c r="C43" s="166"/>
      <c r="D43" s="103"/>
      <c r="E43" s="52"/>
      <c r="F43" s="52"/>
      <c r="G43" s="52"/>
      <c r="H43" s="165"/>
      <c r="I43" s="127"/>
      <c r="J43" s="166"/>
      <c r="K43" s="103"/>
      <c r="L43" s="52"/>
      <c r="M43" s="52"/>
      <c r="P43" s="70"/>
      <c r="Q43" s="70"/>
      <c r="R43" s="70"/>
      <c r="S43" s="70"/>
      <c r="T43" s="70"/>
      <c r="U43" s="70"/>
      <c r="V43" s="70"/>
      <c r="W43" s="70"/>
      <c r="X43" s="70"/>
      <c r="Y43" s="70"/>
      <c r="Z43" s="70"/>
      <c r="AA43" s="70"/>
    </row>
    <row r="44" spans="1:28" x14ac:dyDescent="0.25">
      <c r="A44" s="165"/>
      <c r="B44" s="127"/>
      <c r="C44" s="166"/>
      <c r="D44" s="103"/>
      <c r="E44" s="81"/>
      <c r="F44" s="81"/>
      <c r="G44" s="81"/>
      <c r="H44" s="165"/>
      <c r="I44" s="127"/>
      <c r="J44" s="166"/>
      <c r="K44" s="103"/>
      <c r="L44" s="81"/>
      <c r="M44" s="81"/>
      <c r="P44" s="70"/>
      <c r="Q44" s="70"/>
      <c r="R44" s="70"/>
      <c r="S44" s="70"/>
      <c r="T44" s="70"/>
      <c r="U44" s="70"/>
      <c r="V44" s="70"/>
      <c r="W44" s="70"/>
      <c r="X44" s="70"/>
      <c r="Y44" s="70"/>
      <c r="Z44" s="70"/>
      <c r="AA44" s="70"/>
    </row>
    <row r="45" spans="1:28" x14ac:dyDescent="0.25">
      <c r="A45" s="165"/>
      <c r="B45" s="127"/>
      <c r="C45" s="166"/>
      <c r="D45" s="103"/>
      <c r="F45" s="78"/>
      <c r="G45" s="45"/>
      <c r="H45" s="165"/>
      <c r="I45" s="127"/>
      <c r="J45" s="166"/>
      <c r="K45" s="103"/>
      <c r="M45" s="78"/>
      <c r="P45" s="55"/>
      <c r="Q45" s="55"/>
      <c r="R45" s="55"/>
      <c r="S45" s="55"/>
      <c r="T45" s="55"/>
      <c r="U45" s="55"/>
      <c r="V45" s="55"/>
      <c r="W45" s="55"/>
      <c r="X45" s="55"/>
      <c r="Y45" s="55"/>
      <c r="Z45" s="55"/>
      <c r="AA45" s="55"/>
    </row>
    <row r="46" spans="1:28" x14ac:dyDescent="0.25">
      <c r="A46" s="167" t="s">
        <v>181</v>
      </c>
      <c r="B46" s="113"/>
      <c r="C46" s="323">
        <f>SUM(C41:C45)</f>
        <v>0</v>
      </c>
      <c r="D46" s="103"/>
      <c r="E46" s="55"/>
      <c r="F46" s="52"/>
      <c r="G46" s="45"/>
      <c r="H46" s="167" t="s">
        <v>30</v>
      </c>
      <c r="I46" s="113"/>
      <c r="J46" s="323">
        <f>SUM(J41:J45)</f>
        <v>0</v>
      </c>
      <c r="K46" s="103"/>
      <c r="L46" s="55"/>
      <c r="M46" s="52"/>
      <c r="P46" s="55"/>
      <c r="Q46" s="55"/>
      <c r="R46" s="55"/>
      <c r="S46" s="55"/>
      <c r="T46" s="55"/>
      <c r="U46" s="55"/>
      <c r="V46" s="55"/>
      <c r="W46" s="55"/>
      <c r="X46" s="55"/>
      <c r="Y46" s="55"/>
      <c r="Z46" s="55"/>
      <c r="AA46" s="55"/>
    </row>
    <row r="47" spans="1:28" ht="16.5" thickBot="1" x14ac:dyDescent="0.3">
      <c r="A47" s="497" t="s">
        <v>219</v>
      </c>
      <c r="B47" s="497"/>
      <c r="C47" s="497"/>
      <c r="D47" s="52"/>
      <c r="E47" s="52"/>
      <c r="F47" s="52"/>
      <c r="G47" s="103"/>
      <c r="H47" s="497" t="s">
        <v>219</v>
      </c>
      <c r="I47" s="497"/>
      <c r="J47" s="497"/>
      <c r="K47" s="52"/>
      <c r="L47" s="52"/>
      <c r="M47" s="52"/>
      <c r="P47" s="70"/>
      <c r="Q47" s="70"/>
      <c r="R47" s="70"/>
      <c r="S47" s="70"/>
      <c r="T47" s="70"/>
      <c r="U47" s="70"/>
      <c r="V47" s="70"/>
      <c r="W47" s="70"/>
      <c r="X47" s="70"/>
      <c r="Y47" s="70"/>
      <c r="Z47" s="70"/>
      <c r="AA47" s="70"/>
    </row>
    <row r="48" spans="1:28" x14ac:dyDescent="0.25">
      <c r="A48" s="79" t="s">
        <v>233</v>
      </c>
      <c r="B48" s="80"/>
      <c r="C48" s="81"/>
      <c r="D48" s="81"/>
      <c r="E48" s="81"/>
      <c r="F48" s="81"/>
      <c r="G48" s="103"/>
      <c r="H48" s="79" t="s">
        <v>233</v>
      </c>
      <c r="I48" s="80"/>
      <c r="J48" s="81"/>
      <c r="K48" s="81"/>
      <c r="L48" s="81"/>
      <c r="M48" s="81"/>
      <c r="O48" s="70"/>
      <c r="P48" s="70"/>
      <c r="Q48" s="70"/>
      <c r="R48" s="70"/>
      <c r="S48" s="70"/>
      <c r="T48" s="70"/>
      <c r="U48" s="70"/>
      <c r="V48" s="70"/>
      <c r="W48" s="70"/>
      <c r="X48" s="70"/>
      <c r="Y48" s="70"/>
      <c r="Z48" s="70"/>
    </row>
    <row r="49" spans="1:26" ht="26.65" customHeight="1" x14ac:dyDescent="0.25">
      <c r="A49" s="51" t="s">
        <v>232</v>
      </c>
      <c r="B49" s="111"/>
      <c r="C49" s="81"/>
      <c r="D49" s="52"/>
      <c r="E49" s="55"/>
      <c r="F49" s="55"/>
      <c r="G49" s="103"/>
      <c r="H49" s="51" t="s">
        <v>232</v>
      </c>
      <c r="I49" s="111"/>
      <c r="J49" s="81"/>
      <c r="K49" s="52"/>
      <c r="L49" s="55"/>
      <c r="M49" s="55"/>
      <c r="O49" s="70"/>
      <c r="P49" s="70"/>
      <c r="Q49" s="70"/>
      <c r="R49" s="70"/>
      <c r="S49" s="70"/>
      <c r="T49" s="70"/>
      <c r="U49" s="70"/>
      <c r="V49" s="70"/>
      <c r="W49" s="70"/>
      <c r="X49" s="70"/>
      <c r="Y49" s="70"/>
      <c r="Z49" s="70"/>
    </row>
    <row r="50" spans="1:26" x14ac:dyDescent="0.25">
      <c r="A50" s="115" t="s">
        <v>32</v>
      </c>
      <c r="B50" s="116" t="s">
        <v>176</v>
      </c>
      <c r="C50" s="82"/>
      <c r="D50" s="82"/>
      <c r="E50" s="103"/>
      <c r="F50" s="77"/>
      <c r="G50" s="45"/>
      <c r="H50" s="115" t="s">
        <v>32</v>
      </c>
      <c r="I50" s="116" t="s">
        <v>31</v>
      </c>
      <c r="J50" s="82"/>
      <c r="K50" s="82"/>
      <c r="L50" s="103"/>
      <c r="M50" s="77"/>
      <c r="O50" s="70"/>
      <c r="P50" s="70"/>
      <c r="Q50" s="70"/>
      <c r="R50" s="70"/>
      <c r="S50" s="70"/>
      <c r="T50" s="70"/>
      <c r="U50" s="70"/>
      <c r="V50" s="70"/>
      <c r="W50" s="70"/>
      <c r="X50" s="70"/>
      <c r="Y50" s="70"/>
      <c r="Z50" s="70"/>
    </row>
    <row r="51" spans="1:26" ht="60" customHeight="1" x14ac:dyDescent="0.25">
      <c r="A51" s="191"/>
      <c r="B51" s="22"/>
      <c r="C51" s="103"/>
      <c r="D51" s="103"/>
      <c r="E51" s="103"/>
      <c r="F51" s="52"/>
      <c r="G51" s="45"/>
      <c r="H51" s="191"/>
      <c r="I51" s="22"/>
      <c r="J51" s="103"/>
      <c r="K51" s="103"/>
      <c r="L51" s="103"/>
      <c r="M51" s="52"/>
      <c r="O51" s="70"/>
      <c r="P51" s="70"/>
      <c r="Q51" s="70"/>
      <c r="R51" s="70"/>
      <c r="S51" s="70"/>
      <c r="T51" s="70"/>
      <c r="U51" s="70"/>
      <c r="V51" s="70"/>
      <c r="W51" s="70"/>
      <c r="X51" s="70"/>
      <c r="Y51" s="70"/>
      <c r="Z51" s="70"/>
    </row>
    <row r="52" spans="1:26" ht="60" customHeight="1" x14ac:dyDescent="0.25">
      <c r="A52" s="191"/>
      <c r="B52" s="22"/>
      <c r="C52" s="103"/>
      <c r="D52" s="103"/>
      <c r="E52" s="104"/>
      <c r="F52" s="104"/>
      <c r="G52" s="104"/>
      <c r="H52" s="191"/>
      <c r="I52" s="22"/>
      <c r="J52" s="103"/>
      <c r="K52" s="103"/>
      <c r="L52" s="104"/>
      <c r="M52" s="104"/>
      <c r="O52" s="70"/>
      <c r="P52" s="70"/>
      <c r="Q52" s="70"/>
      <c r="R52" s="70"/>
      <c r="S52" s="70"/>
      <c r="T52" s="70"/>
      <c r="U52" s="70"/>
      <c r="V52" s="70"/>
      <c r="W52" s="70"/>
      <c r="X52" s="70"/>
      <c r="Y52" s="70"/>
      <c r="Z52" s="70"/>
    </row>
    <row r="53" spans="1:26" ht="60" customHeight="1" x14ac:dyDescent="0.25">
      <c r="A53" s="191"/>
      <c r="B53" s="22"/>
      <c r="C53" s="103"/>
      <c r="D53" s="103"/>
      <c r="E53" s="52"/>
      <c r="F53" s="52"/>
      <c r="G53" s="52"/>
      <c r="H53" s="191"/>
      <c r="I53" s="22"/>
      <c r="J53" s="103"/>
      <c r="K53" s="103"/>
      <c r="L53" s="52"/>
      <c r="M53" s="52"/>
    </row>
    <row r="54" spans="1:26" ht="60" customHeight="1" x14ac:dyDescent="0.25">
      <c r="A54" s="191"/>
      <c r="B54" s="22"/>
      <c r="C54" s="103"/>
      <c r="D54" s="103"/>
      <c r="E54" s="118"/>
      <c r="F54" s="118"/>
      <c r="G54" s="119"/>
      <c r="H54" s="191"/>
      <c r="I54" s="22"/>
      <c r="J54" s="103"/>
      <c r="K54" s="103"/>
      <c r="L54" s="118"/>
      <c r="M54" s="118"/>
    </row>
    <row r="55" spans="1:26" ht="60" customHeight="1" x14ac:dyDescent="0.25">
      <c r="A55" s="191"/>
      <c r="B55" s="22"/>
      <c r="C55" s="103"/>
      <c r="D55" s="103"/>
      <c r="E55" s="119"/>
      <c r="F55" s="119"/>
      <c r="G55" s="86"/>
      <c r="H55" s="191"/>
      <c r="I55" s="22"/>
      <c r="J55" s="103"/>
      <c r="K55" s="103"/>
      <c r="L55" s="119"/>
      <c r="M55" s="119"/>
    </row>
    <row r="56" spans="1:26" x14ac:dyDescent="0.25">
      <c r="A56" s="120" t="s">
        <v>181</v>
      </c>
      <c r="B56" s="325">
        <f>SUM(B51:B55)</f>
        <v>0</v>
      </c>
      <c r="C56" s="103"/>
      <c r="D56" s="103"/>
      <c r="E56" s="55"/>
      <c r="G56" s="78"/>
      <c r="H56" s="333" t="s">
        <v>30</v>
      </c>
      <c r="I56" s="325">
        <f>SUM(I51:I55)</f>
        <v>0</v>
      </c>
      <c r="J56" s="103"/>
      <c r="K56" s="103"/>
      <c r="L56" s="55"/>
    </row>
    <row r="57" spans="1:26" ht="16.5" thickBot="1" x14ac:dyDescent="0.3">
      <c r="A57" s="498" t="s">
        <v>219</v>
      </c>
      <c r="B57" s="498"/>
      <c r="C57" s="45"/>
      <c r="D57" s="52"/>
      <c r="E57" s="52"/>
      <c r="F57" s="52"/>
      <c r="G57" s="103"/>
      <c r="H57" s="498" t="s">
        <v>219</v>
      </c>
      <c r="I57" s="498"/>
      <c r="J57" s="350"/>
      <c r="K57" s="52"/>
      <c r="L57" s="52"/>
      <c r="M57" s="52"/>
    </row>
    <row r="58" spans="1:26" x14ac:dyDescent="0.25">
      <c r="A58" s="172" t="s">
        <v>235</v>
      </c>
      <c r="B58" s="106"/>
      <c r="C58" s="107"/>
      <c r="D58" s="91"/>
      <c r="E58" s="91"/>
      <c r="F58" s="103"/>
      <c r="G58" s="103"/>
      <c r="H58" s="172" t="s">
        <v>235</v>
      </c>
      <c r="I58" s="106"/>
      <c r="J58" s="107"/>
      <c r="K58" s="91"/>
      <c r="L58" s="91"/>
      <c r="M58" s="103"/>
    </row>
    <row r="59" spans="1:26" ht="28.15" customHeight="1" x14ac:dyDescent="0.25">
      <c r="A59" s="51" t="s">
        <v>234</v>
      </c>
      <c r="B59" s="121"/>
      <c r="C59" s="176"/>
      <c r="D59" s="92"/>
      <c r="E59" s="119"/>
      <c r="F59" s="103"/>
      <c r="G59" s="103"/>
      <c r="H59" s="51" t="s">
        <v>234</v>
      </c>
      <c r="I59" s="121"/>
      <c r="J59" s="107"/>
      <c r="K59" s="92"/>
      <c r="L59" s="119"/>
      <c r="M59" s="103"/>
    </row>
    <row r="60" spans="1:26" x14ac:dyDescent="0.25">
      <c r="A60" s="129" t="s">
        <v>62</v>
      </c>
      <c r="B60" s="130" t="s">
        <v>177</v>
      </c>
      <c r="C60" s="82"/>
      <c r="D60" s="103"/>
      <c r="E60" s="103"/>
      <c r="F60" s="45"/>
      <c r="G60" s="45"/>
      <c r="H60" s="129" t="s">
        <v>62</v>
      </c>
      <c r="I60" s="130" t="s">
        <v>96</v>
      </c>
      <c r="J60" s="82"/>
      <c r="K60" s="103"/>
      <c r="L60" s="103"/>
      <c r="M60" s="45"/>
    </row>
    <row r="61" spans="1:26" ht="15.4" customHeight="1" x14ac:dyDescent="0.25">
      <c r="A61" s="40"/>
      <c r="B61" s="41"/>
      <c r="C61" s="103"/>
      <c r="D61" s="103"/>
      <c r="E61" s="103"/>
      <c r="F61" s="45"/>
      <c r="G61" s="45"/>
      <c r="H61" s="40"/>
      <c r="I61" s="41"/>
      <c r="J61" s="103"/>
      <c r="K61" s="103"/>
      <c r="L61" s="103"/>
      <c r="M61" s="45"/>
    </row>
    <row r="62" spans="1:26" x14ac:dyDescent="0.25">
      <c r="A62" s="40"/>
      <c r="B62" s="41"/>
      <c r="C62" s="103"/>
      <c r="D62" s="45"/>
      <c r="E62" s="45"/>
      <c r="F62" s="45"/>
      <c r="G62" s="45"/>
      <c r="H62" s="40"/>
      <c r="I62" s="41"/>
      <c r="J62" s="103"/>
      <c r="K62" s="45"/>
      <c r="L62" s="45"/>
      <c r="M62" s="45"/>
    </row>
    <row r="63" spans="1:26" x14ac:dyDescent="0.25">
      <c r="A63" s="40"/>
      <c r="B63" s="41"/>
      <c r="C63" s="103"/>
      <c r="D63" s="45"/>
      <c r="E63" s="45"/>
      <c r="F63" s="45"/>
      <c r="G63" s="45"/>
      <c r="H63" s="40"/>
      <c r="I63" s="41"/>
      <c r="J63" s="103"/>
      <c r="K63" s="45"/>
      <c r="L63" s="45"/>
      <c r="M63" s="45"/>
    </row>
    <row r="64" spans="1:26" x14ac:dyDescent="0.25">
      <c r="A64" s="40"/>
      <c r="B64" s="41"/>
      <c r="C64" s="103"/>
      <c r="D64" s="45"/>
      <c r="E64" s="45"/>
      <c r="F64" s="45"/>
      <c r="G64" s="45"/>
      <c r="H64" s="40"/>
      <c r="I64" s="41"/>
      <c r="J64" s="103"/>
      <c r="K64" s="45"/>
      <c r="L64" s="45"/>
      <c r="M64" s="45"/>
    </row>
    <row r="65" spans="1:13" x14ac:dyDescent="0.25">
      <c r="A65" s="40"/>
      <c r="B65" s="41"/>
      <c r="C65" s="103"/>
      <c r="D65" s="45"/>
      <c r="E65" s="45"/>
      <c r="F65" s="45"/>
      <c r="G65" s="45"/>
      <c r="H65" s="40"/>
      <c r="I65" s="41"/>
      <c r="J65" s="103"/>
      <c r="K65" s="45"/>
      <c r="L65" s="45"/>
      <c r="M65" s="45"/>
    </row>
    <row r="66" spans="1:13" x14ac:dyDescent="0.25">
      <c r="A66" s="128" t="s">
        <v>181</v>
      </c>
      <c r="B66" s="326">
        <f>SUM(B61:B65)</f>
        <v>0</v>
      </c>
      <c r="C66" s="103"/>
      <c r="D66" s="45"/>
      <c r="E66" s="45"/>
      <c r="F66" s="45"/>
      <c r="G66" s="45"/>
      <c r="H66" s="334" t="s">
        <v>30</v>
      </c>
      <c r="I66" s="326">
        <f>SUM(I61:I65)</f>
        <v>0</v>
      </c>
      <c r="J66" s="103"/>
      <c r="K66" s="45"/>
      <c r="L66" s="45"/>
      <c r="M66" s="45"/>
    </row>
    <row r="67" spans="1:13" ht="16.5" thickBot="1" x14ac:dyDescent="0.3">
      <c r="A67" s="491" t="s">
        <v>219</v>
      </c>
      <c r="B67" s="491"/>
      <c r="C67" s="45"/>
      <c r="D67" s="45"/>
      <c r="E67" s="45"/>
      <c r="F67" s="45"/>
      <c r="G67" s="45"/>
      <c r="H67" s="491" t="s">
        <v>219</v>
      </c>
      <c r="I67" s="491"/>
      <c r="J67" s="350"/>
      <c r="K67" s="45"/>
      <c r="L67" s="45"/>
      <c r="M67" s="45"/>
    </row>
    <row r="68" spans="1:13" ht="31.15" customHeight="1" x14ac:dyDescent="0.25">
      <c r="A68" s="177" t="s">
        <v>88</v>
      </c>
      <c r="B68" s="178"/>
      <c r="C68" s="181"/>
      <c r="D68" s="181"/>
      <c r="E68" s="45"/>
      <c r="F68" s="45"/>
      <c r="G68" s="45"/>
      <c r="H68" s="177" t="s">
        <v>88</v>
      </c>
      <c r="I68" s="178"/>
      <c r="J68" s="349"/>
      <c r="K68" s="181"/>
      <c r="L68" s="45"/>
      <c r="M68" s="45"/>
    </row>
    <row r="69" spans="1:13" x14ac:dyDescent="0.25">
      <c r="A69" s="179" t="s">
        <v>63</v>
      </c>
      <c r="B69" s="180" t="s">
        <v>180</v>
      </c>
      <c r="C69" s="419" t="s">
        <v>224</v>
      </c>
      <c r="E69" s="350"/>
      <c r="F69" s="350"/>
      <c r="G69" s="45"/>
      <c r="H69" s="179" t="s">
        <v>63</v>
      </c>
      <c r="I69" s="180" t="s">
        <v>179</v>
      </c>
      <c r="J69" s="419" t="s">
        <v>224</v>
      </c>
      <c r="K69" s="45"/>
      <c r="L69" s="45"/>
      <c r="M69" s="45"/>
    </row>
    <row r="70" spans="1:13" x14ac:dyDescent="0.25">
      <c r="A70" s="336" t="s">
        <v>184</v>
      </c>
      <c r="B70" s="327">
        <v>0</v>
      </c>
      <c r="C70" s="476" t="s">
        <v>225</v>
      </c>
      <c r="D70" s="45"/>
      <c r="E70" s="45"/>
      <c r="F70" s="45"/>
      <c r="G70" s="45"/>
      <c r="H70" s="336" t="s">
        <v>71</v>
      </c>
      <c r="I70" s="327">
        <v>0</v>
      </c>
      <c r="J70" s="476" t="s">
        <v>225</v>
      </c>
      <c r="K70" s="45"/>
      <c r="L70" s="45"/>
      <c r="M70" s="45"/>
    </row>
    <row r="71" spans="1:13" ht="30" customHeight="1" x14ac:dyDescent="0.25">
      <c r="A71" s="428" t="s">
        <v>258</v>
      </c>
      <c r="B71" s="425"/>
      <c r="C71" s="425"/>
      <c r="D71" s="425"/>
      <c r="E71" s="425"/>
      <c r="F71" s="425"/>
      <c r="G71" s="425"/>
      <c r="H71" s="425"/>
      <c r="I71" s="425"/>
      <c r="J71" s="425"/>
      <c r="K71" s="425"/>
      <c r="L71" s="425"/>
      <c r="M71" s="425"/>
    </row>
    <row r="72" spans="1:13" s="440" customFormat="1" ht="12" x14ac:dyDescent="0.2">
      <c r="A72" s="429" t="s">
        <v>252</v>
      </c>
      <c r="B72" s="439"/>
      <c r="C72" s="439"/>
      <c r="D72" s="439"/>
      <c r="E72" s="439"/>
      <c r="F72" s="439"/>
      <c r="G72" s="439"/>
      <c r="H72" s="439"/>
      <c r="I72" s="439"/>
      <c r="J72" s="439"/>
      <c r="K72" s="439"/>
      <c r="L72" s="439"/>
      <c r="M72" s="439"/>
    </row>
    <row r="73" spans="1:13" x14ac:dyDescent="0.25">
      <c r="A73" s="501" t="s">
        <v>221</v>
      </c>
      <c r="B73" s="501"/>
      <c r="C73" s="501"/>
      <c r="D73" s="501"/>
      <c r="E73" s="501"/>
      <c r="F73" s="501"/>
      <c r="G73" s="501"/>
      <c r="H73" s="501"/>
      <c r="I73" s="501"/>
      <c r="J73" s="501"/>
      <c r="K73" s="501"/>
      <c r="L73" s="501"/>
      <c r="M73" s="501"/>
    </row>
  </sheetData>
  <sheetProtection algorithmName="SHA-512" hashValue="7m7rJ4E8+VZF3JJXk6eEK7QvckX2Dyz3uNTm+KUflYEMm6RSaQqZ/IReUnEoB20OiWNkq1a47mpWx6iRUBXWZA==" saltValue="7M+mH/Q8fiEpzVHp+pf4rw==" spinCount="100000" sheet="1" objects="1" scenarios="1" formatColumns="0" formatRows="0"/>
  <mergeCells count="13">
    <mergeCell ref="A73:M73"/>
    <mergeCell ref="H67:I67"/>
    <mergeCell ref="H57:I57"/>
    <mergeCell ref="H47:J47"/>
    <mergeCell ref="H36:J36"/>
    <mergeCell ref="A47:C47"/>
    <mergeCell ref="A57:B57"/>
    <mergeCell ref="A67:B67"/>
    <mergeCell ref="H26:J26"/>
    <mergeCell ref="H22:M22"/>
    <mergeCell ref="A22:F22"/>
    <mergeCell ref="A26:E26"/>
    <mergeCell ref="A36:C36"/>
  </mergeCells>
  <conditionalFormatting sqref="A25">
    <cfRule type="containsText" dxfId="2074" priority="10" operator="containsText" text="Not eligible for this exception">
      <formula>NOT(ISERROR(SEARCH("Not eligible for this exception",A25)))</formula>
    </cfRule>
  </conditionalFormatting>
  <conditionalFormatting sqref="H25">
    <cfRule type="containsText" dxfId="2073" priority="9" operator="containsText" text="Not eligible for this exception">
      <formula>NOT(ISERROR(SEARCH("Not eligible for this exception",H25)))</formula>
    </cfRule>
  </conditionalFormatting>
  <conditionalFormatting sqref="B34:C35">
    <cfRule type="expression" dxfId="2072" priority="6">
      <formula>$B$31&gt;=0</formula>
    </cfRule>
  </conditionalFormatting>
  <conditionalFormatting sqref="I34:J35">
    <cfRule type="expression" dxfId="2071" priority="5">
      <formula>$I$31&gt;=0</formula>
    </cfRule>
  </conditionalFormatting>
  <conditionalFormatting sqref="B25:E25">
    <cfRule type="expression" dxfId="2070" priority="4">
      <formula>$B$31&gt;=0</formula>
    </cfRule>
  </conditionalFormatting>
  <conditionalFormatting sqref="I25:L25">
    <cfRule type="expression" dxfId="2069" priority="3">
      <formula>$I$31&gt;=0</formula>
    </cfRule>
  </conditionalFormatting>
  <hyperlinks>
    <hyperlink ref="C70" r:id="rId1"/>
    <hyperlink ref="J70" r:id="rId2"/>
    <hyperlink ref="A72" r:id="rId3" display="http://cifr.wested.org/resources/lea-moe/calculator/"/>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8" id="{EAB93876-FA39-4330-B702-D80EF4B8F7B0}">
            <xm:f>'3. Getting Started'!$B$13="No"</xm:f>
            <x14:dxf>
              <fill>
                <patternFill>
                  <bgColor theme="1"/>
                </patternFill>
              </fill>
            </x14:dxf>
          </x14:cfRule>
          <xm:sqref>A60:B66</xm:sqref>
        </x14:conditionalFormatting>
        <x14:conditionalFormatting xmlns:xm="http://schemas.microsoft.com/office/excel/2006/main">
          <x14:cfRule type="expression" priority="7" id="{F8FFDFF1-96C5-4024-81D8-524B333EB2C2}">
            <xm:f>'3. Getting Started'!$B$13="No"</xm:f>
            <x14:dxf>
              <fill>
                <patternFill>
                  <bgColor theme="1"/>
                </patternFill>
              </fill>
            </x14:dxf>
          </x14:cfRule>
          <xm:sqref>H60:I66</xm:sqref>
        </x14:conditionalFormatting>
        <x14:conditionalFormatting xmlns:xm="http://schemas.microsoft.com/office/excel/2006/main">
          <x14:cfRule type="expression" priority="2" id="{70217F92-F37F-4CC2-9FD1-E7CCC76FF3CC}">
            <xm:f>'3. Getting Started'!$B$7="Yes"</xm:f>
            <x14:dxf>
              <fill>
                <patternFill>
                  <bgColor theme="1"/>
                </patternFill>
              </fill>
            </x14:dxf>
          </x14:cfRule>
          <xm:sqref>B25:E25 I25:L25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A1:M35"/>
  <sheetViews>
    <sheetView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211" t="s">
        <v>205</v>
      </c>
      <c r="B1" s="215"/>
      <c r="D1" s="467" t="s">
        <v>254</v>
      </c>
      <c r="E1" s="3" t="str">
        <f>IF('3. Getting Started'!$B2="","",'3. Getting Started'!$B2)</f>
        <v/>
      </c>
      <c r="G1" s="486" t="s">
        <v>219</v>
      </c>
      <c r="H1" s="368" t="s">
        <v>204</v>
      </c>
      <c r="I1" s="34"/>
      <c r="K1" s="467" t="s">
        <v>254</v>
      </c>
      <c r="L1" s="3" t="str">
        <f>IF('3. Getting Started'!B2="","",'3. Getting Started'!B2)</f>
        <v/>
      </c>
    </row>
    <row r="2" spans="1:13" s="4" customFormat="1" ht="37.9" customHeight="1" thickBot="1" x14ac:dyDescent="0.3">
      <c r="A2" s="364" t="s">
        <v>209</v>
      </c>
      <c r="B2" s="11"/>
      <c r="C2" s="11"/>
      <c r="D2" s="11"/>
      <c r="E2" s="11"/>
      <c r="F2" s="365"/>
      <c r="G2" s="486"/>
      <c r="H2" s="364" t="s">
        <v>210</v>
      </c>
      <c r="I2" s="11"/>
      <c r="J2" s="11"/>
      <c r="K2" s="11"/>
      <c r="L2" s="11"/>
      <c r="M2" s="365"/>
    </row>
    <row r="3" spans="1:13" s="4" customFormat="1" ht="24" customHeight="1" x14ac:dyDescent="0.25">
      <c r="A3" s="206"/>
      <c r="B3" s="363"/>
      <c r="C3" s="25"/>
      <c r="D3" s="12" t="s">
        <v>12</v>
      </c>
      <c r="E3" s="13"/>
      <c r="F3" s="14"/>
      <c r="G3" s="486"/>
      <c r="H3" s="369"/>
      <c r="I3" s="6"/>
      <c r="J3" s="25"/>
      <c r="K3" s="12" t="s">
        <v>114</v>
      </c>
      <c r="L3" s="13"/>
      <c r="M3" s="370"/>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46" customFormat="1" ht="12" x14ac:dyDescent="0.2">
      <c r="A32" s="428" t="s">
        <v>258</v>
      </c>
      <c r="B32" s="441"/>
      <c r="C32" s="442"/>
      <c r="D32" s="443"/>
      <c r="E32" s="444"/>
      <c r="F32" s="443"/>
      <c r="G32" s="445"/>
      <c r="H32" s="441"/>
      <c r="I32" s="441"/>
      <c r="J32" s="442"/>
      <c r="K32" s="443"/>
      <c r="L32" s="444"/>
      <c r="M32" s="443"/>
    </row>
    <row r="33" spans="1:13" s="451" customFormat="1" ht="12" x14ac:dyDescent="0.2">
      <c r="A33" s="429" t="s">
        <v>252</v>
      </c>
      <c r="B33" s="447"/>
      <c r="C33" s="448"/>
      <c r="D33" s="449"/>
      <c r="E33" s="450"/>
      <c r="F33" s="449"/>
      <c r="G33" s="433"/>
      <c r="H33" s="447"/>
      <c r="I33" s="447"/>
      <c r="J33" s="448"/>
      <c r="K33" s="449"/>
      <c r="L33" s="450"/>
      <c r="M33" s="449"/>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0HcoHqIGQm+vVIduq9GHtA1tTOW+0owSA/KOgAZR4J5qZaJsHPwpfgehQoYR3T4/E99lSobOyFh9+jwJsWF5Q==" saltValue="9AVICjbhNpE5xhz4fL93Dw==" spinCount="100000" sheet="1" formatColumns="0" formatRows="0"/>
  <mergeCells count="2">
    <mergeCell ref="G1:G31"/>
    <mergeCell ref="A34:M34"/>
  </mergeCells>
  <hyperlinks>
    <hyperlink ref="A33" r:id="rId1" display="http://cifr.wested.org/resources/lea-moe/calculator/"/>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415E0CF8-1682-444A-9FA1-263086F4E3B5}">
            <xm:f>'3. Getting Started'!$B$6="No"</xm:f>
            <x14:dxf>
              <fill>
                <patternFill>
                  <bgColor theme="1"/>
                </patternFill>
              </fill>
            </x14:dxf>
          </x14:cfRule>
          <xm:sqref>D5:D31 K5:K31</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autoPageBreaks="0"/>
  </sheetPr>
  <dimension ref="A1:P82"/>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109</v>
      </c>
      <c r="D1" s="218" t="s">
        <v>57</v>
      </c>
      <c r="G1" s="286" t="s">
        <v>254</v>
      </c>
      <c r="H1" s="471"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Summary'!$E$3:$E$7,1),'4. Multi-Year MOE Summary'!$A$3:$A$7),IF($B$1="Compliance",LOOKUP(2,1/SEARCH("Met",'4. Multi-Year MOE Summary'!$E$3:$E$8,1),'4. Multi-Year MOE Summary'!$A$3:$A$8),""))</f>
        <v>2010-2011</v>
      </c>
      <c r="C4" s="234"/>
      <c r="E4" s="232" t="s">
        <v>54</v>
      </c>
      <c r="F4" s="233" t="str">
        <f>IF($B$1="Eligibility",LOOKUP(2,1/SEARCH("Met",'4. Multi-Year MOE Summary'!$G$3:$G$7,1),'4. Multi-Year MOE Summary'!$A$3:$A$7),IF($B$1="Compliance",LOOKUP(2,1/SEARCH("Met",'4. Multi-Year MOE Summary'!$G$3:$G$8,1),'4. Multi-Year MOE Summary'!$A$3:$A$8),""))</f>
        <v>2010-2011</v>
      </c>
      <c r="G4" s="234"/>
      <c r="I4" s="235" t="s">
        <v>54</v>
      </c>
      <c r="J4" s="233" t="str">
        <f>IF($B$1="Eligibility",LOOKUP(2,1/SEARCH("Met",'4. Multi-Year MOE Summary'!$I$3:$I$7,1),'4. Multi-Year MOE Summary'!$A$3:$A$7),IF($B$1="Compliance",LOOKUP(2,1/SEARCH("Met",'4. Multi-Year MOE Summary'!$I$3:$I$8,1),'4. Multi-Year MOE Summary'!$A$3:$A$8),""))</f>
        <v>2010-2011</v>
      </c>
      <c r="K4" s="236"/>
      <c r="M4" s="235" t="s">
        <v>54</v>
      </c>
      <c r="N4" s="233" t="str">
        <f>IF($B$1="Eligibility",LOOKUP(2,1/SEARCH("Met",'4. Multi-Year MOE Summary'!$K$3:$K$7,1),'4. Multi-Year MOE Summary'!$A$3:$A$7),IF($B$1="Compliance",LOOKUP(2,1/SEARCH("Met",'4. Multi-Year MOE Summary'!$K$3:$K$8,1),'4. Multi-Year MOE Summary'!$A$3:$A$8),""))</f>
        <v>2010-2011</v>
      </c>
      <c r="O4" s="236"/>
    </row>
    <row r="5" spans="1:16" x14ac:dyDescent="0.25">
      <c r="A5" s="232" t="s">
        <v>20</v>
      </c>
      <c r="B5" s="233">
        <f>IF($B$1="Eligibility",LOOKUP(B4,'4. Multi-Year MOE Summary'!$A$3:$A$7,'4. Multi-Year MOE Summary'!$D$3:$D$7),IF($B$1="Compliance",LOOKUP(B4,'4. Multi-Year MOE Summary'!$A$3:$A$8,'4. Multi-Year MOE Summary'!$D$3:$D$8)))</f>
        <v>0</v>
      </c>
      <c r="C5" s="237"/>
      <c r="E5" s="232" t="s">
        <v>20</v>
      </c>
      <c r="F5" s="233">
        <f>IF($B$1="Eligibility",LOOKUP(F4,'4. Multi-Year MOE Summary'!$A$3:$A$7,'4. Multi-Year MOE Summary'!$F$3:$F$7),IF($B$1="Compliance",LOOKUP(F4,'4. Multi-Year MOE Summary'!$A$3:$A$8,'4. Multi-Year MOE Summary'!$F$3:$F$8)))</f>
        <v>0</v>
      </c>
      <c r="G5" s="237"/>
      <c r="H5" s="220"/>
      <c r="I5" s="235" t="s">
        <v>20</v>
      </c>
      <c r="J5" s="233" t="str">
        <f>IF($B$1="Eligibility",LOOKUP(J4,'4. Multi-Year MOE Summary'!$A$3:$A$7,'4. Multi-Year MOE Summary'!$H$3:$H$7),IF($B$1="Compliance",LOOKUP(J4,'4. Multi-Year MOE Summary'!$A$3:$A$8,'4. Multi-Year MOE Summary'!$H$3:$H$8)))</f>
        <v/>
      </c>
      <c r="K5" s="238"/>
      <c r="M5" s="235" t="s">
        <v>20</v>
      </c>
      <c r="N5" s="233" t="str">
        <f>IF($B$1="Eligibility",LOOKUP(N4,'4. Multi-Year MOE Summary'!$A$3:$A$7,'4. Multi-Year MOE Summary'!$J$3:$J$7),IF($B$1="Compliance",LOOKUP(N4,'4. Multi-Year MOE Summary'!$A$3:$A$8,'4. Multi-Year MOE Summary'!$J$3:$J$8)))</f>
        <v/>
      </c>
      <c r="O5" s="238"/>
    </row>
    <row r="6" spans="1:16" x14ac:dyDescent="0.25">
      <c r="A6" s="232" t="s">
        <v>116</v>
      </c>
      <c r="B6" s="239" t="str">
        <f>IF($B$1="Eligibility",'8. 16-17 Amounts'!D30,'8. 16-17 Amounts'!K30)</f>
        <v/>
      </c>
      <c r="C6" s="240" t="str">
        <f>IF(B6="","",IF(B6&gt;=B5,"Met","Did Not Meet"))</f>
        <v/>
      </c>
      <c r="D6" s="241" t="str">
        <f>IF(C6="","",IF(C6="Met","You have met MOE.","Add exception information."))</f>
        <v/>
      </c>
      <c r="E6" s="232" t="s">
        <v>116</v>
      </c>
      <c r="F6" s="239" t="str">
        <f>IF($B$1="Eligibility",'8. 16-17 Amounts'!F30,'8. 16-17 Amounts'!M30)</f>
        <v/>
      </c>
      <c r="G6" s="240" t="str">
        <f>IF(F6="","",IF(F6&gt;=F5,"Met","Did Not Meet"))</f>
        <v/>
      </c>
      <c r="H6" s="241" t="str">
        <f>IF(G6="","",IF(G6="Met","You have met MOE.","Add exception information."))</f>
        <v/>
      </c>
      <c r="I6" s="232" t="s">
        <v>116</v>
      </c>
      <c r="J6" s="239" t="str">
        <f>IF($B$1="Eligibility",'8. 16-17 Amounts'!D31,'8. 16-17 Amounts'!K31)</f>
        <v/>
      </c>
      <c r="K6" s="240" t="str">
        <f>IF(J6="","",IF(J6&gt;=J5,"Met","Did Not Meet"))</f>
        <v/>
      </c>
      <c r="L6" s="241" t="str">
        <f>IF(K6="","",IF(K6="Met","You have met MOE.","Add exception information."))</f>
        <v/>
      </c>
      <c r="M6" s="232" t="s">
        <v>116</v>
      </c>
      <c r="N6" s="239" t="str">
        <f>IF($B$1="Eligibility",'8. 16-17 Amounts'!F31,'8. 16-17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IF(C6="Met","NA",B66)</f>
        <v>0</v>
      </c>
      <c r="C8" s="240"/>
      <c r="D8" s="220"/>
      <c r="E8" s="232" t="s">
        <v>45</v>
      </c>
      <c r="F8" s="233">
        <f>IF(G6="Met","NA",F66)</f>
        <v>0</v>
      </c>
      <c r="G8" s="240"/>
      <c r="H8" s="220"/>
      <c r="I8" s="232" t="s">
        <v>45</v>
      </c>
      <c r="J8" s="233" t="str">
        <f>IF(K6="","",IF(K6="Met","NA",J67))</f>
        <v/>
      </c>
      <c r="K8" s="240"/>
      <c r="M8" s="232" t="s">
        <v>45</v>
      </c>
      <c r="N8" s="233" t="str">
        <f>IF(O6="","",IF(O6="Met","NA",N67))</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IF(C6="Met","NA",IF(C9="Met","NA",B77))</f>
        <v>0</v>
      </c>
      <c r="C10" s="240"/>
      <c r="D10" s="242"/>
      <c r="E10" s="232" t="s">
        <v>46</v>
      </c>
      <c r="F10" s="233">
        <f>IF(G6="Met","NA",IF(G9="Met","NA",F77))</f>
        <v>0</v>
      </c>
      <c r="G10" s="240"/>
      <c r="H10" s="242"/>
      <c r="I10" s="232" t="s">
        <v>46</v>
      </c>
      <c r="J10" s="233" t="str">
        <f>IF(K6="Met","NA",IF(K9="Met","NA",J79))</f>
        <v/>
      </c>
      <c r="K10" s="240"/>
      <c r="L10" s="242"/>
      <c r="M10" s="232" t="s">
        <v>46</v>
      </c>
      <c r="N10" s="233" t="str">
        <f>IF(O6="Met","NA",IF(O9="Met","NA",N79))</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1" t="s">
        <v>219</v>
      </c>
      <c r="B12" s="491"/>
      <c r="C12" s="491"/>
      <c r="E12" s="491" t="s">
        <v>219</v>
      </c>
      <c r="F12" s="491"/>
      <c r="G12" s="491"/>
      <c r="I12" s="491" t="s">
        <v>219</v>
      </c>
      <c r="J12" s="491"/>
      <c r="K12" s="491"/>
      <c r="M12" s="491" t="s">
        <v>219</v>
      </c>
      <c r="N12" s="491"/>
      <c r="O12" s="491"/>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54" t="s">
        <v>74</v>
      </c>
      <c r="F16" s="255" t="s">
        <v>75</v>
      </c>
      <c r="G16" s="252"/>
      <c r="H16" s="256"/>
      <c r="I16" s="254" t="s">
        <v>74</v>
      </c>
      <c r="J16" s="255" t="s">
        <v>75</v>
      </c>
      <c r="K16" s="252"/>
      <c r="L16" s="256"/>
      <c r="M16" s="281" t="s">
        <v>74</v>
      </c>
      <c r="N16" s="255" t="s">
        <v>75</v>
      </c>
      <c r="O16" s="252"/>
      <c r="P16" s="256"/>
    </row>
    <row r="17" spans="1:16" x14ac:dyDescent="0.25">
      <c r="A17" s="388" t="str">
        <f>IF($C$6="Met","","2016-17 Total")</f>
        <v>2016-17 Total</v>
      </c>
      <c r="B17" s="258">
        <f>IF(A17="","",IF($B$1="Eligibility",IF('10. 16-17 Exc &amp; Adj'!$F$21&lt;0,0,'10. 16-17 Exc &amp; Adj'!$F$21),IF($B$1="Compliance",IF('10. 16-17 Exc &amp; Adj'!$M$21&lt;0,0,'10. 16-17 Exc &amp; Adj'!$M$21))))</f>
        <v>0</v>
      </c>
      <c r="C17" s="252"/>
      <c r="D17" s="256"/>
      <c r="E17" s="257" t="str">
        <f>IF(G$6="Met","","2016-17 Total")</f>
        <v>2016-17 Total</v>
      </c>
      <c r="F17" s="258">
        <f>IF(E17="","",IF($B$1="Eligibility",IF('10. 16-17 Exc &amp; Adj'!$F$21&lt;0,0,'10. 16-17 Exc &amp; Adj'!$F$21),IF($B$1="Compliance",IF('10. 16-17 Exc &amp; Adj'!$M$21&lt;0,0,'10. 16-17 Exc &amp; Adj'!$M$21))))</f>
        <v>0</v>
      </c>
      <c r="G17" s="252"/>
      <c r="H17" s="256"/>
      <c r="I17" s="257" t="str">
        <f>IF($K$6="Met","","2016-17 Total")</f>
        <v>2016-17 Total</v>
      </c>
      <c r="J17" s="258">
        <f>IF(I17="","",IF($B$1="Eligibility",IF('10. 16-17 Exc &amp; Adj'!$F$21&lt;0,0,'10. 16-17 Exc &amp; Adj'!$F$21),IF($B$1="Compliance",IF('10. 16-17 Exc &amp; Adj'!$M$21&lt;0,0,'10. 16-17 Exc &amp; Adj'!$M$21))))</f>
        <v>0</v>
      </c>
      <c r="K17" s="252"/>
      <c r="L17" s="256"/>
      <c r="M17" s="388" t="str">
        <f>IF($O$6="Met","","2016-17 Total")</f>
        <v>2016-17 Total</v>
      </c>
      <c r="N17" s="258">
        <f>IF(M17="","",IF($B$1="Eligibility",IF('10. 16-17 Exc &amp; Adj'!$F$21&lt;0,0,'10. 16-17 Exc &amp; Adj'!$F$21),IF($B$1="Compliance",IF('10. 16-17 Exc &amp; Adj'!$M$21&lt;0,0,'10. 16-17 Exc &amp; Adj'!$M$21))))</f>
        <v>0</v>
      </c>
      <c r="O17" s="252"/>
      <c r="P17" s="256"/>
    </row>
    <row r="18" spans="1:16" x14ac:dyDescent="0.25">
      <c r="A18" s="388" t="str">
        <f>IF(C$6="Met","",IF(B$4="2015-2016","","2015-16 Total"))</f>
        <v>2015-16 Total</v>
      </c>
      <c r="B18" s="258">
        <f>IF(A18="","",IF($B$1="Eligibility",IF('7. 15-16 Exc &amp; Adj'!$F$21&lt;0,0,'7. 15-16 Exc &amp; Adj'!$F$21),IF($B$1="Compliance",IF('7. 15-16 Exc &amp; Adj'!$M$21&lt;0,0,'7. 15-16 Exc &amp; Adj'!$M$21))))</f>
        <v>0</v>
      </c>
      <c r="C18" s="252"/>
      <c r="D18" s="256"/>
      <c r="E18" s="257" t="str">
        <f>IF(G$6="Met","",IF(F$4="2015-2016","","2015-16 Total"))</f>
        <v>2015-16 Total</v>
      </c>
      <c r="F18" s="258">
        <f>IF(E18="","",IF($B$1="Eligibility",IF('7. 15-16 Exc &amp; Adj'!$F$21&lt;0,0,'7. 15-16 Exc &amp; Adj'!$F$21),IF($B$1="Compliance",IF('7. 15-16 Exc &amp; Adj'!$M$21&lt;0,0,'7. 15-16 Exc &amp; Adj'!$M$21))))</f>
        <v>0</v>
      </c>
      <c r="G18" s="252"/>
      <c r="H18" s="256"/>
      <c r="I18" s="257" t="str">
        <f>IF(K$6="Met","",IF(J$4="2015-2016","","2015-16 Total"))</f>
        <v>2015-16 Total</v>
      </c>
      <c r="J18" s="258">
        <f>IF(I18="","",IF($B$1="Eligibility",IF('7. 15-16 Exc &amp; Adj'!$F$21&lt;0,0,'7. 15-16 Exc &amp; Adj'!$F$21),IF($B$1="Compliance",IF('7. 15-16 Exc &amp; Adj'!$M$21&lt;0,0,'7. 15-16 Exc &amp; Adj'!$M$21))))</f>
        <v>0</v>
      </c>
      <c r="K18" s="252"/>
      <c r="L18" s="256"/>
      <c r="M18" s="388" t="str">
        <f>IF(O$6="Met","",IF(N$4="2015-2016","","2015-16 Total"))</f>
        <v>2015-16 Total</v>
      </c>
      <c r="N18" s="258">
        <f>IF(M18="","",IF($B$1="Eligibility",IF('7. 15-16 Exc &amp; Adj'!$F$21&lt;0,0,'7. 15-16 Exc &amp; Adj'!$F$21),IF($B$1="Compliance",IF('7. 15-16 Exc &amp; Adj'!$M$21&lt;0,0,'7. 15-16 Exc &amp; Adj'!$M$21))))</f>
        <v>0</v>
      </c>
      <c r="O18" s="252"/>
      <c r="P18" s="256"/>
    </row>
    <row r="19" spans="1:16" x14ac:dyDescent="0.25">
      <c r="A19" s="388" t="str">
        <f>IF(C$6="Met","",IF(OR(B$4="2015-2016",B$4="2014-2015"),"","2014-15 Total"))</f>
        <v>2014-15 Total</v>
      </c>
      <c r="B19" s="258">
        <f>IF(A19="","",IF('23. 14-15 Exc &amp; Adj'!F20&lt;0,0,'23. 14-15 Exc &amp; Adj'!F20))</f>
        <v>0</v>
      </c>
      <c r="C19" s="252"/>
      <c r="D19" s="256"/>
      <c r="E19" s="257" t="str">
        <f>IF(G$6="Met","",IF(OR(F$4="2015-2016",F$4="2014-2015"),"","2014-15 Total"))</f>
        <v>2014-15 Total</v>
      </c>
      <c r="F19" s="258">
        <f>IF(E19="","",IF('23. 14-15 Exc &amp; Adj'!F20&lt;0,0,'23. 14-15 Exc &amp; Adj'!F20))</f>
        <v>0</v>
      </c>
      <c r="G19" s="252"/>
      <c r="H19" s="256"/>
      <c r="I19" s="257" t="str">
        <f>IF(K$6="Met","",IF(OR(J$4="2015-2016",J$4="2014-2015"),"","2014-15 Total"))</f>
        <v>2014-15 Total</v>
      </c>
      <c r="J19" s="258">
        <f>IF(I19="","",IF('23. 14-15 Exc &amp; Adj'!F20&lt;0,0,'23. 14-15 Exc &amp; Adj'!F20))</f>
        <v>0</v>
      </c>
      <c r="K19" s="252"/>
      <c r="L19" s="256"/>
      <c r="M19" s="388" t="str">
        <f>IF(O$6="Met","",IF(OR(N$4="2015-2016",N$4="2014-2015"),"","2014-15 Total"))</f>
        <v>2014-15 Total</v>
      </c>
      <c r="N19" s="258">
        <f>IF(M19="","",IF('23. 14-15 Exc &amp; Adj'!F20&lt;0,0,'23. 14-15 Exc &amp; Adj'!F20))</f>
        <v>0</v>
      </c>
      <c r="O19" s="252"/>
      <c r="P19" s="256"/>
    </row>
    <row r="20" spans="1:16" x14ac:dyDescent="0.25">
      <c r="A20" s="288" t="str">
        <f>IF(C$6="Met","",IF(OR(B$4="2015-2016",B$4="2014-2015",B$4="2013-2014"),"","2013-14 Total"))</f>
        <v>2013-14 Total</v>
      </c>
      <c r="B20" s="258">
        <f>IF(A20="","",IF('22. 13-14 Exc &amp; Adj'!F20&lt;0,0,'22. 13-14 Exc &amp; Adj'!F20))</f>
        <v>0</v>
      </c>
      <c r="C20" s="252"/>
      <c r="D20" s="256"/>
      <c r="E20" s="259" t="str">
        <f>IF(G$6="Met","",IF(OR(F$4="2015-2016",F$4="2014-2015",F$4="2013-2014"),"","2013-14 Total"))</f>
        <v>2013-14 Total</v>
      </c>
      <c r="F20" s="258">
        <f>IF(E20="","",IF('22. 13-14 Exc &amp; Adj'!F20&lt;0,0,'22. 13-14 Exc &amp; Adj'!F20))</f>
        <v>0</v>
      </c>
      <c r="G20" s="252"/>
      <c r="H20" s="256"/>
      <c r="I20" s="259" t="str">
        <f>IF(K$6="Met","",IF(OR(J$4="2015-2016",J$4="2014-2015",J$4="2013-2014"),"","2013-14 Total"))</f>
        <v>2013-14 Total</v>
      </c>
      <c r="J20" s="258">
        <f>IF(I20="","",IF('22. 13-14 Exc &amp; Adj'!F20&lt;0,0,'22. 13-14 Exc &amp; Adj'!F20))</f>
        <v>0</v>
      </c>
      <c r="K20" s="252"/>
      <c r="L20" s="256"/>
      <c r="M20" s="288" t="str">
        <f>IF(O$6="Met","",IF(OR(N$4="2015-2016",N$4="2014-2015",N$4="2013-2014"),"","2013-14 Total"))</f>
        <v>2013-14 Total</v>
      </c>
      <c r="N20" s="258">
        <f>IF(M20="","",IF('22. 13-14 Exc &amp; Adj'!F20&lt;0,0,'22. 13-14 Exc &amp; Adj'!F20))</f>
        <v>0</v>
      </c>
      <c r="O20" s="252"/>
      <c r="P20" s="256"/>
    </row>
    <row r="21" spans="1:16" x14ac:dyDescent="0.25">
      <c r="A21" s="389" t="str">
        <f>IF(C$6="Met","",IF(OR(B$4="2015-2016",B$4="2014-2015",B$4="2013-2014",B$4="2012-2013"),"","2012-13 Total"))</f>
        <v>2012-13 Total</v>
      </c>
      <c r="B21" s="261">
        <f>IF(A21="","",IF('21. 12-13 Exc &amp; Adj'!F20&lt;0,0,'21. 12-13 Exc &amp; Adj'!F20))</f>
        <v>0</v>
      </c>
      <c r="C21" s="252"/>
      <c r="D21" s="256"/>
      <c r="E21" s="260" t="str">
        <f>IF(G$6="Met","",IF(OR(F$4="2015-2016",F$4="2014-2015",F$4="2013-2014",F$4="2012-2013"),"","2012-13 Total"))</f>
        <v>2012-13 Total</v>
      </c>
      <c r="F21" s="261">
        <f>IF(E21="","",IF('21. 12-13 Exc &amp; Adj'!F20&lt;0,0,'21. 12-13 Exc &amp; Adj'!F20))</f>
        <v>0</v>
      </c>
      <c r="G21" s="252"/>
      <c r="H21" s="256"/>
      <c r="I21" s="260" t="str">
        <f>IF(K$6="Met","",IF(OR(J$4="2015-2016",J$4="2014-2015",J$4="2013-2014",J$4="2012-2013"),"","2012-13 Total"))</f>
        <v>2012-13 Total</v>
      </c>
      <c r="J21" s="261">
        <f>IF(I21="","",IF('21. 12-13 Exc &amp; Adj'!F20&lt;0,0,'21. 12-13 Exc &amp; Adj'!F20))</f>
        <v>0</v>
      </c>
      <c r="K21" s="252"/>
      <c r="L21" s="256"/>
      <c r="M21" s="389" t="str">
        <f>IF(O$6="Met","",IF(OR(N$4="2015-2016",N$4="2014-2015",N$4="2013-2014",N$4="2012-2013"),"","2012-13 Total"))</f>
        <v>2012-13 Total</v>
      </c>
      <c r="N21" s="261">
        <f>IF(M21="","",IF('21. 12-13 Exc &amp; Adj'!F20&lt;0,0,'21. 12-13 Exc &amp; Adj'!F20))</f>
        <v>0</v>
      </c>
      <c r="O21" s="252"/>
      <c r="P21" s="256"/>
    </row>
    <row r="22" spans="1:16" x14ac:dyDescent="0.25">
      <c r="A22" s="389" t="str">
        <f>IF(C$6="Met","",IF(OR(B$4="2015-2016",B$4="2014-2015",B$4="2013-2014",B$4="2012-2013",B$4="2011-2012"),"","2011-12 Total"))</f>
        <v>2011-12 Total</v>
      </c>
      <c r="B22" s="261">
        <f>IF(A22="","",IF('20. 11-12 Exc &amp; Adj'!F20&lt;0,0,'20. 11-12 Exc &amp; Adj'!F20))</f>
        <v>0</v>
      </c>
      <c r="C22" s="252"/>
      <c r="D22" s="220"/>
      <c r="E22" s="385" t="str">
        <f>IF(G$6="Met","",IF(OR(F$4="2015-2016",F$4="2014-2015",F$4="2013-2014",F$4="2012-2013",F$4="2011-2012"),"","2011-12 Total"))</f>
        <v>2011-12 Total</v>
      </c>
      <c r="F22" s="261">
        <f>IF(E22="","",IF('20. 11-12 Exc &amp; Adj'!F20&lt;0,0,'20. 11-12 Exc &amp; Adj'!F20))</f>
        <v>0</v>
      </c>
      <c r="G22" s="252"/>
      <c r="H22" s="220"/>
      <c r="I22" s="385" t="str">
        <f>IF(K$6="Met","",IF(OR(J$4="2015-2016",J$4="2014-2015",J$4="2013-2014",J$4="2012-2013",J$4="2011-2012"),"","2011-12 Total"))</f>
        <v>2011-12 Total</v>
      </c>
      <c r="J22" s="386">
        <f>IF(I22="","",IF('20. 11-12 Exc &amp; Adj'!F20&lt;0,0,'20. 11-12 Exc &amp; Adj'!F20))</f>
        <v>0</v>
      </c>
      <c r="K22" s="252"/>
      <c r="M22" s="394" t="str">
        <f>IF(O$6="Met","",IF(OR(N$4="2015-2016",N$4="2014-2015",N$4="2013-2014",N$4="2012-2013",N$4="2011-2012"),"","2011-12 Total"))</f>
        <v>2011-12 Total</v>
      </c>
      <c r="N22" s="386">
        <f>IF(M22="","",IF('20. 11-12 Exc &amp; Adj'!F20&lt;0,0,'20. 11-12 Exc &amp; Adj'!F20))</f>
        <v>0</v>
      </c>
      <c r="O22" s="252"/>
    </row>
    <row r="23" spans="1:16" x14ac:dyDescent="0.25">
      <c r="A23" s="488" t="s">
        <v>219</v>
      </c>
      <c r="B23" s="489"/>
      <c r="C23" s="252"/>
      <c r="E23" s="488" t="s">
        <v>219</v>
      </c>
      <c r="F23" s="489"/>
      <c r="G23" s="252"/>
      <c r="I23" s="488" t="s">
        <v>219</v>
      </c>
      <c r="J23" s="489"/>
      <c r="K23" s="252"/>
      <c r="L23" s="219"/>
      <c r="M23" s="488" t="s">
        <v>219</v>
      </c>
      <c r="N23" s="489"/>
      <c r="O23" s="252"/>
      <c r="P23" s="219"/>
    </row>
    <row r="24" spans="1:16" x14ac:dyDescent="0.25">
      <c r="A24" s="262" t="s">
        <v>13</v>
      </c>
      <c r="B24" s="263"/>
      <c r="C24" s="264"/>
      <c r="D24" s="265"/>
      <c r="E24" s="262" t="s">
        <v>13</v>
      </c>
      <c r="F24" s="263"/>
      <c r="G24" s="264"/>
      <c r="H24" s="265"/>
      <c r="I24" s="262" t="s">
        <v>13</v>
      </c>
      <c r="J24" s="263"/>
      <c r="K24" s="264"/>
      <c r="L24" s="265"/>
      <c r="M24" s="262" t="s">
        <v>13</v>
      </c>
      <c r="N24" s="263"/>
      <c r="O24" s="264"/>
      <c r="P24" s="265"/>
    </row>
    <row r="25" spans="1:16" x14ac:dyDescent="0.25">
      <c r="A25" s="281" t="s">
        <v>74</v>
      </c>
      <c r="B25" s="255" t="s">
        <v>75</v>
      </c>
      <c r="C25" s="264"/>
      <c r="D25" s="311"/>
      <c r="E25" s="254" t="s">
        <v>74</v>
      </c>
      <c r="F25" s="255" t="s">
        <v>75</v>
      </c>
      <c r="G25" s="264"/>
      <c r="H25" s="220"/>
      <c r="I25" s="254" t="s">
        <v>74</v>
      </c>
      <c r="J25" s="255" t="s">
        <v>75</v>
      </c>
      <c r="K25" s="264"/>
      <c r="M25" s="281" t="s">
        <v>74</v>
      </c>
      <c r="N25" s="255" t="s">
        <v>75</v>
      </c>
      <c r="O25" s="264"/>
    </row>
    <row r="26" spans="1:16" x14ac:dyDescent="0.25">
      <c r="A26" s="388" t="str">
        <f>IF($C$6="Met","","2016-17 Total")</f>
        <v>2016-17 Total</v>
      </c>
      <c r="B26" s="258">
        <f>IF(A26="","",IF(AND($B$1="Eligibility",'10. 16-17 Exc &amp; Adj'!$B$31=""),0,(IF(AND($B$1="Eligibility",'10. 16-17 Exc &amp; Adj'!$B$31&gt;=0),"",IF(AND($B$1="Eligibility",'3. Getting Started'!$B$7="No"),'10. 16-17 Exc &amp; Adj'!$B$25,IF(AND($B$1="Eligibility",OR('3. Getting Started'!$B$7="Yes",'3. Getting Started'!$B$7="")),'10. 16-17 Exc &amp; Adj'!$B$35,IF(AND($B$1="Compliance",'10. 16-17 Exc &amp; Adj'!$I$31=""),0,IF(AND($B$1="Compliance",'10. 16-17 Exc &amp; Adj'!$I$31&gt;=0),"",IF(AND($B$1="Compliance",'3. Getting Started'!$B$7="No"),'10. 16-17 Exc &amp; Adj'!$I$25,IF(AND($B$1="Compliance",OR('3. Getting Started'!$B$7="Yes",'3. Getting Started'!$B$7="")),'10. 16-17 Exc &amp; Adj'!$I$35))))))))))</f>
        <v>0</v>
      </c>
      <c r="C26" s="264"/>
      <c r="D26" s="220"/>
      <c r="E26" s="257" t="str">
        <f>IF($G$6="Met","","2016-17 Total")</f>
        <v>2016-17 Total</v>
      </c>
      <c r="F26" s="258">
        <f>IF(E26="","",IF(AND($B$1="Eligibility",'10. 16-17 Exc &amp; Adj'!$B$31=""),0,(IF(AND($B$1="Eligibility",'10. 16-17 Exc &amp; Adj'!$B$31&gt;=0),"",IF(AND($B$1="Eligibility",'3. Getting Started'!$B$7="No"),'10. 16-17 Exc &amp; Adj'!$C$25,IF(AND($B$1="Eligibility",OR('3. Getting Started'!$B$7="Yes",'3. Getting Started'!$B$7="")),'10. 16-17 Exc &amp; Adj'!$C$35,IF(AND($B$1="Compliance",'10. 16-17 Exc &amp; Adj'!$I$31=""),0,IF(AND($B$1="Compliance",'10. 16-17 Exc &amp; Adj'!$I$31&gt;=0),"",IF(AND($B$1="Compliance",'3. Getting Started'!$B$7="No"),'10. 16-17 Exc &amp; Adj'!$J$25,IF(AND($B$1="Compliance",OR('3. Getting Started'!$B$7="Yes",'3. Getting Started'!$B$7="")),'10. 16-17 Exc &amp; Adj'!$J$35))))))))))</f>
        <v>0</v>
      </c>
      <c r="G26" s="264"/>
      <c r="H26" s="220"/>
      <c r="I26" s="257" t="str">
        <f>IF($K$6="Met","","2016-17 Total")</f>
        <v>2016-17 Total</v>
      </c>
      <c r="J26" s="258">
        <f>IF(I26="","",IF(AND($B$1="Eligibility",'10. 16-17 Exc &amp; Adj'!$B$31=""),0,(IF(AND($B$1="Eligibility",'10. 16-17 Exc &amp; Adj'!$B$31&gt;=0),"",IF(AND($B$1="Eligibility",'3. Getting Started'!$B$7="No"),'10. 16-17 Exc &amp; Adj'!$D$25,IF(AND($B$1="Eligibility",OR('3. Getting Started'!$B$7="Yes",'3. Getting Started'!$B$7="")),'10. 16-17 Exc &amp; Adj'!$B$35,IF(AND($B$1="Compliance",'10. 16-17 Exc &amp; Adj'!$I$31=""),0,IF(AND($B$1="Compliance",'10. 16-17 Exc &amp; Adj'!$I$31&gt;=0),"",IF(AND($B$1="Compliance",'3. Getting Started'!$B$7="No"),'10. 16-17 Exc &amp; Adj'!$K$25,IF(AND($B$1="Compliance",OR('3. Getting Started'!$B$7="Yes",'3. Getting Started'!$B$7="")),'10. 16-17 Exc &amp; Adj'!$I$35))))))))))</f>
        <v>0</v>
      </c>
      <c r="K26" s="264"/>
      <c r="M26" s="388" t="str">
        <f>IF($O$6="Met","","2016-17 Total")</f>
        <v>2016-17 Total</v>
      </c>
      <c r="N26" s="258">
        <f>IF(M26="","",IF(AND($B$1="Eligibility",'10. 16-17 Exc &amp; Adj'!$B$31=""),0,(IF(AND($B$1="Eligibility",'10. 16-17 Exc &amp; Adj'!$B$31&gt;=0),"",IF(AND($B$1="Eligibility",'3. Getting Started'!$B$7="No"),'10. 16-17 Exc &amp; Adj'!$E$25,IF(AND($B$1="Eligibility",OR('3. Getting Started'!$B$7="Yes",'3. Getting Started'!$B$7="")),'10. 16-17 Exc &amp; Adj'!$C$35,IF(AND($B$1="Compliance",'10. 16-17 Exc &amp; Adj'!$I$31=""),0,IF(AND($B$1="Compliance",'10. 16-17 Exc &amp; Adj'!$I$31&gt;=0),"",IF(AND($B$1="Compliance",'3. Getting Started'!$B$7="No"),'10. 16-17 Exc &amp; Adj'!$L$25,IF(AND($B$1="Compliance",OR('3. Getting Started'!$B$7="Yes",'3. Getting Started'!$B$7="")),'10. 16-17 Exc &amp; Adj'!$J$35))))))))))</f>
        <v>0</v>
      </c>
      <c r="O26" s="264"/>
    </row>
    <row r="27" spans="1:16" x14ac:dyDescent="0.25">
      <c r="A27" s="388" t="str">
        <f>IF($C$6="Met","",IF(B$4="2015-2016","","2015-16 Total"))</f>
        <v>2015-16 Total</v>
      </c>
      <c r="B27" s="258">
        <f>IF(A27="","",IF(AND($B$1="Eligibility",'7. 15-16 Exc &amp; Adj'!$B$31=""),0,IF(AND($B$1="Eligibility",'7. 15-16 Exc &amp; Adj'!$B$31&gt;=0),"",IF(AND($B$1="Eligibility",'3. Getting Started'!$B$7="No"),'7. 15-16 Exc &amp; Adj'!$B$25,IF(AND($B$1="Eligibility",OR('3. Getting Started'!$B$7="Yes",'3. Getting Started'!$B$7="")),'7. 15-16 Exc &amp; Adj'!$B$35,IF(AND($B$1="Compliance",'7. 15-16 Exc &amp; Adj'!$I$31=""),0,IF(AND($B$1="Compliance",'7. 15-16 Exc &amp; Adj'!$I$31&gt;=0),"",IF(AND($B$1="Compliance",'3. Getting Started'!$B$7="No"),'7. 15-16 Exc &amp; Adj'!$I$25,IF(AND($B$1="Compliance",OR('3. Getting Started'!$B$7="Yes",'3. Getting Started'!$B$7="")),'7. 15-16 Exc &amp; Adj'!$I$35)))))))))</f>
        <v>0</v>
      </c>
      <c r="C27" s="264"/>
      <c r="D27" s="220"/>
      <c r="E27" s="257" t="str">
        <f>IF(G$6="Met","",IF(F$4="2015-2016","","2015-16 Total"))</f>
        <v>2015-16 Total</v>
      </c>
      <c r="F27" s="258">
        <f>IF(E27="","",IF(AND($B$1="Eligibility",'7. 15-16 Exc &amp; Adj'!$B$31=""),0,IF(AND($B$1="Eligibility",'7. 15-16 Exc &amp; Adj'!$B$31&gt;=0),"",IF(AND($B$1="Eligibility",'3. Getting Started'!$B$7="No"),'7. 15-16 Exc &amp; Adj'!$C$25,IF(AND($B$1="Eligibility",OR('3. Getting Started'!$B$7="Yes",'3. Getting Started'!$B$7="")),'7. 15-16 Exc &amp; Adj'!$C$35,IF(AND($B$1="Compliance",'7. 15-16 Exc &amp; Adj'!$I$31=""),0,IF(AND($B$1="Compliance",'7. 15-16 Exc &amp; Adj'!$I$31&gt;=0),"",IF(AND($B$1="Compliance",'3. Getting Started'!$B$7="No"),'7. 15-16 Exc &amp; Adj'!$J$25,IF(AND($B$1="Compliance",OR('3. Getting Started'!$B$7="Yes",'3. Getting Started'!$B$7="")),'7. 15-16 Exc &amp; Adj'!$J$35)))))))))</f>
        <v>0</v>
      </c>
      <c r="G27" s="264"/>
      <c r="H27" s="220"/>
      <c r="I27" s="257" t="str">
        <f>IF(K$6="Met","",IF(J$4="2015-2016","","2015-16 Total"))</f>
        <v>2015-16 Total</v>
      </c>
      <c r="J27" s="258">
        <f>IF(I27="","",IF(AND($B$1="Eligibility",'7. 15-16 Exc &amp; Adj'!$B$31=""),0,IF(AND($B$1="Eligibility",'7. 15-16 Exc &amp; Adj'!$B$31&gt;=0),"",IF(AND($B$1="Eligibility",'3. Getting Started'!$B$7="No"),'7. 15-16 Exc &amp; Adj'!$D$25,IF(AND($B$1="Eligibility",OR('3. Getting Started'!$B$7="Yes",'3. Getting Started'!$B$7="")),'7. 15-16 Exc &amp; Adj'!$B$35,IF(AND($B$1="Compliance",'7. 15-16 Exc &amp; Adj'!$I$31=""),0,IF(AND($B$1="Compliance",'7. 15-16 Exc &amp; Adj'!$I$31&gt;=0),"",IF(AND($B$1="Compliance",'3. Getting Started'!$B$7="No"),'7. 15-16 Exc &amp; Adj'!$K$25,IF(AND($B$1="Compliance",OR('3. Getting Started'!$B$7="Yes",'3. Getting Started'!$B$7="")),'7. 15-16 Exc &amp; Adj'!$I$35)))))))))</f>
        <v>0</v>
      </c>
      <c r="K27" s="264"/>
      <c r="M27" s="388" t="str">
        <f>IF(O$6="Met","",IF(N$4="2015-2016","","2015-16 Total"))</f>
        <v>2015-16 Total</v>
      </c>
      <c r="N27" s="258">
        <f>IF(M27="","",IF(AND($B$1="Eligibility",'7. 15-16 Exc &amp; Adj'!$B$31=""),0,IF(AND($B$1="Eligibility",'7. 15-16 Exc &amp; Adj'!$B$31&gt;=0),"",IF(AND($B$1="Eligibility",'3. Getting Started'!$B$7="No"),'7. 15-16 Exc &amp; Adj'!$E$25,IF(AND($B$1="Eligibility",OR('3. Getting Started'!$B$7="Yes",'3. Getting Started'!$B$7="")),'7. 15-16 Exc &amp; Adj'!$C$35,IF(AND($B$1="Compliance",'7. 15-16 Exc &amp; Adj'!$I$31=""),0,IF(AND($B$1="Compliance",'7. 15-16 Exc &amp; Adj'!$I$31&gt;=0),"",IF(AND($B$1="Compliance",'3. Getting Started'!$B$7="No"),'7. 15-16 Exc &amp; Adj'!$L$25,IF(AND($B$1="Compliance",OR('3. Getting Started'!$B$7="Yes",'3. Getting Started'!$B$7="")),'7. 15-16 Exc &amp; Adj'!$J$35)))))))))</f>
        <v>0</v>
      </c>
      <c r="O27" s="264"/>
    </row>
    <row r="28" spans="1:16" x14ac:dyDescent="0.25">
      <c r="A28" s="388" t="str">
        <f>IF(C$6="Met","",IF(OR(B$4="2015-2016",B$4="2014-2015"),"","2014-15 Total"))</f>
        <v>2014-15 Total</v>
      </c>
      <c r="B28" s="258">
        <f>IF(A28="","",IF('23. 14-15 Exc &amp; Adj'!$B$30="",0,(IF('23. 14-15 Exc &amp; Adj'!$B$30&gt;=0,"",IF('3. Getting Started'!$B$7="No",'23. 14-15 Exc &amp; Adj'!B$24,'23. 14-15 Exc &amp; Adj'!B$34)))))</f>
        <v>0</v>
      </c>
      <c r="C28" s="264"/>
      <c r="D28" s="265"/>
      <c r="E28" s="257" t="str">
        <f>IF(G$6="Met","",IF(OR(F$4="2015-2016",F$4="2014-2015"),"","2014-15 Total"))</f>
        <v>2014-15 Total</v>
      </c>
      <c r="F28" s="258">
        <f>IF(E28="","",IF('23. 14-15 Exc &amp; Adj'!$B$30="",0,IF('23. 14-15 Exc &amp; Adj'!B30&gt;=0,"",IF('3. Getting Started'!B7="No",'23. 14-15 Exc &amp; Adj'!C24,'23. 14-15 Exc &amp; Adj'!C34))))</f>
        <v>0</v>
      </c>
      <c r="G28" s="264"/>
      <c r="H28" s="265"/>
      <c r="I28" s="257" t="str">
        <f>IF(K$6="Met","",IF(OR(J$4="2015-2016",J$4="2014-2015"),"","2014-15 Total"))</f>
        <v>2014-15 Total</v>
      </c>
      <c r="J28" s="258">
        <f>IF(I28="","",IF('23. 14-15 Exc &amp; Adj'!$B$30="",0,IF('23. 14-15 Exc &amp; Adj'!B30&gt;=0,"",IF('3. Getting Started'!B7="No",'23. 14-15 Exc &amp; Adj'!D24,'23. 14-15 Exc &amp; Adj'!B34))))</f>
        <v>0</v>
      </c>
      <c r="K28" s="264"/>
      <c r="L28" s="265"/>
      <c r="M28" s="388" t="str">
        <f>IF(O$6="Met","",IF(OR(N$4="2015-2016",N$4="2014-2015"),"","2014-15 Total"))</f>
        <v>2014-15 Total</v>
      </c>
      <c r="N28" s="258">
        <f>IF(M28="","",IF('23. 14-15 Exc &amp; Adj'!$B$30="",0,IF('23. 14-15 Exc &amp; Adj'!B30&gt;=0,"",IF('3. Getting Started'!B7="No",'23. 14-15 Exc &amp; Adj'!E24,'23. 14-15 Exc &amp; Adj'!C34))))</f>
        <v>0</v>
      </c>
      <c r="O28" s="264"/>
      <c r="P28" s="265"/>
    </row>
    <row r="29" spans="1:16" x14ac:dyDescent="0.25">
      <c r="A29" s="288" t="str">
        <f>IF(C$6="Met","",IF(OR(B$4="2015-2016",B$4="2014-2015",B$4="2013-2014"),"","2013-14 Total"))</f>
        <v>2013-14 Total</v>
      </c>
      <c r="B29" s="258">
        <f>IF(A29="","",IF('22. 13-14 Exc &amp; Adj'!$B$30="",0,IF('22. 13-14 Exc &amp; Adj'!$B$30&gt;=0,"",IF('3. Getting Started'!$B$7="No",'22. 13-14 Exc &amp; Adj'!$B$24,'22. 13-14 Exc &amp; Adj'!$B$34))))</f>
        <v>0</v>
      </c>
      <c r="C29" s="264"/>
      <c r="D29" s="265"/>
      <c r="E29" s="259" t="str">
        <f>IF(G$6="Met","",IF(OR(F$4="2015-2016",F$4="2014-2015",F$4="2013-2014"),"","2013-14 Total"))</f>
        <v>2013-14 Total</v>
      </c>
      <c r="F29" s="258">
        <f>IF(E29="","",IF('22. 13-14 Exc &amp; Adj'!$B$30="",0,IF('22. 13-14 Exc &amp; Adj'!B30&gt;=0,"",IF('3. Getting Started'!B7="No",'22. 13-14 Exc &amp; Adj'!C24,'22. 13-14 Exc &amp; Adj'!C34))))</f>
        <v>0</v>
      </c>
      <c r="G29" s="264"/>
      <c r="H29" s="265"/>
      <c r="I29" s="259" t="str">
        <f>IF(K$6="Met","",IF(OR(J$4="2015-2016",J$4="2014-2015",J$4="2013-2014"),"","2013-14 Total"))</f>
        <v>2013-14 Total</v>
      </c>
      <c r="J29" s="258">
        <f>IF(I29="","",IF('22. 13-14 Exc &amp; Adj'!$B$30="",0,IF('22. 13-14 Exc &amp; Adj'!B30&gt;=0,"",IF('3. Getting Started'!B7="No",'22. 13-14 Exc &amp; Adj'!D24,'22. 13-14 Exc &amp; Adj'!B34))))</f>
        <v>0</v>
      </c>
      <c r="K29" s="264"/>
      <c r="L29" s="265"/>
      <c r="M29" s="288" t="str">
        <f>IF(O$6="Met","",IF(OR(N$4="2015-2016",N$4="2014-2015",N$4="2013-2014"),"","2013-14 Total"))</f>
        <v>2013-14 Total</v>
      </c>
      <c r="N29" s="258">
        <f>IF(M29="","",IF('22. 13-14 Exc &amp; Adj'!$B$30="",0,IF('22. 13-14 Exc &amp; Adj'!B30&gt;=0,"",IF('3. Getting Started'!B7="No",'22. 13-14 Exc &amp; Adj'!E24,'22. 13-14 Exc &amp; Adj'!C34))))</f>
        <v>0</v>
      </c>
      <c r="O29" s="264"/>
      <c r="P29" s="265"/>
    </row>
    <row r="30" spans="1:16" x14ac:dyDescent="0.25">
      <c r="A30" s="389" t="str">
        <f>IF(C$6="Met","",IF(OR(B$4="2015-2016",B$4="2014-2015",B$4="2013-2014",B$4="2012-2013"),"","2012-13 Total"))</f>
        <v>2012-13 Total</v>
      </c>
      <c r="B30" s="261">
        <f>IF(A30="","",IF('21. 12-13 Exc &amp; Adj'!$B$30="",0,IF('21. 12-13 Exc &amp; Adj'!B30&gt;=0,"",IF('3. Getting Started'!B7="No",'21. 12-13 Exc &amp; Adj'!B24,'21. 12-13 Exc &amp; Adj'!B34))))</f>
        <v>0</v>
      </c>
      <c r="C30" s="264"/>
      <c r="D30" s="265"/>
      <c r="E30" s="260" t="str">
        <f>IF(G$6="Met","",IF(OR(F$4="2015-2016",F$4="2014-2015",F$4="2013-2014",F$4="2012-2013"),"","2012-13 Total"))</f>
        <v>2012-13 Total</v>
      </c>
      <c r="F30" s="261">
        <f>IF(E30="","",IF('21. 12-13 Exc &amp; Adj'!$B$30="",0,IF('21. 12-13 Exc &amp; Adj'!B30&gt;=0,"",IF('3. Getting Started'!B7="No",'21. 12-13 Exc &amp; Adj'!C24,'21. 12-13 Exc &amp; Adj'!C34))))</f>
        <v>0</v>
      </c>
      <c r="G30" s="264"/>
      <c r="H30" s="265"/>
      <c r="I30" s="260" t="str">
        <f>IF(K$6="Met","",IF(OR(J$4="2015-2016",J$4="2014-2015",J$4="2013-2014",J$4="2012-2013"),"","2012-13 Total"))</f>
        <v>2012-13 Total</v>
      </c>
      <c r="J30" s="261">
        <f>IF(I30="","",IF('21. 12-13 Exc &amp; Adj'!$B$30="",0,IF('21. 12-13 Exc &amp; Adj'!B30&gt;=0,"",IF('3. Getting Started'!B7="No",'21. 12-13 Exc &amp; Adj'!D24,'21. 12-13 Exc &amp; Adj'!B34))))</f>
        <v>0</v>
      </c>
      <c r="K30" s="264"/>
      <c r="L30" s="265"/>
      <c r="M30" s="288" t="str">
        <f>IF(O$6="Met","",IF(OR(N$4="2015-2016",N$4="2014-2015",N$4="2013-2014",N$4="2012-2013"),"","2012-13 Total"))</f>
        <v>2012-13 Total</v>
      </c>
      <c r="N30" s="258">
        <f>IF(M30="","",IF('21. 12-13 Exc &amp; Adj'!$B$30="",0,IF('21. 12-13 Exc &amp; Adj'!B30&gt;=0,"",IF('3. Getting Started'!B7="No",'21. 12-13 Exc &amp; Adj'!E24,'21. 12-13 Exc &amp; Adj'!C34))))</f>
        <v>0</v>
      </c>
      <c r="O30" s="264"/>
      <c r="P30" s="265"/>
    </row>
    <row r="31" spans="1:16" x14ac:dyDescent="0.25">
      <c r="A31" s="389" t="str">
        <f>IF(C$6="Met","",IF(OR(B$4="2015-2016",B$4="2014-2015",B$4="2013-2014",B$4="2012-2013",B$4="2011-2012"),"","2011-12 Total"))</f>
        <v>2011-12 Total</v>
      </c>
      <c r="B31" s="261">
        <f>IF(A31="","",IF('20. 11-12 Exc &amp; Adj'!$B$30="",0,IF('20. 11-12 Exc &amp; Adj'!B30&gt;=0,"",IF('3. Getting Started'!B7="No",'20. 11-12 Exc &amp; Adj'!B24,'20. 11-12 Exc &amp; Adj'!B34))))</f>
        <v>0</v>
      </c>
      <c r="C31" s="264"/>
      <c r="D31" s="256"/>
      <c r="E31" s="385" t="str">
        <f>IF(G$6="Met","",IF(OR(F$4="2015-2016",F$4="2014-2015",F$4="2013-2014",F$4="2012-2013",F$4="2011-2012"),"","2011-12 Total"))</f>
        <v>2011-12 Total</v>
      </c>
      <c r="F31" s="261">
        <f>IF(E31="","",IF('20. 11-12 Exc &amp; Adj'!$B$30="",0,IF('20. 11-12 Exc &amp; Adj'!B30&gt;=0,"",IF('3. Getting Started'!B7="No",'20. 11-12 Exc &amp; Adj'!C24,'20. 11-12 Exc &amp; Adj'!C34))))</f>
        <v>0</v>
      </c>
      <c r="G31" s="264"/>
      <c r="H31" s="256"/>
      <c r="I31" s="385" t="str">
        <f>IF(K$6="Met","",IF(OR(J$4="2015-2016",J$4="2014-2015",J$4="2013-2014",J$4="2012-2013",J$4="2011-2012"),"","2011-12 Total"))</f>
        <v>2011-12 Total</v>
      </c>
      <c r="J31" s="261">
        <f>IF(I31="","",IF('20. 11-12 Exc &amp; Adj'!$B$30="",0,IF('20. 11-12 Exc &amp; Adj'!B30&gt;=0,"",IF('3. Getting Started'!B7="No",'20. 11-12 Exc &amp; Adj'!D24,'20. 11-12 Exc &amp; Adj'!B34))))</f>
        <v>0</v>
      </c>
      <c r="K31" s="264"/>
      <c r="L31" s="256"/>
      <c r="M31" s="394" t="str">
        <f>IF(O$6="Met","",IF(OR(N$4="2015-2016",N$4="2014-2015",N$4="2013-2014",N$4="2012-2013",N$4="2011-2012"),"","2011-12 Total"))</f>
        <v>2011-12 Total</v>
      </c>
      <c r="N31" s="387">
        <f>IF(M31="","",IF('20. 11-12 Exc &amp; Adj'!$B$30="",0,IF('20. 11-12 Exc &amp; Adj'!B30&gt;=0,"",IF('3. Getting Started'!B7="No",'20. 11-12 Exc &amp; Adj'!E24,'20. 11-12 Exc &amp; Adj'!C34))))</f>
        <v>0</v>
      </c>
      <c r="O31" s="264"/>
      <c r="P31" s="256"/>
    </row>
    <row r="32" spans="1:16" x14ac:dyDescent="0.25">
      <c r="A32" s="492" t="s">
        <v>219</v>
      </c>
      <c r="B32" s="493"/>
      <c r="C32" s="264"/>
      <c r="D32" s="256"/>
      <c r="E32" s="488" t="s">
        <v>219</v>
      </c>
      <c r="F32" s="489"/>
      <c r="G32" s="264"/>
      <c r="H32" s="256"/>
      <c r="I32" s="488" t="s">
        <v>219</v>
      </c>
      <c r="J32" s="489"/>
      <c r="K32" s="264"/>
      <c r="L32" s="256"/>
      <c r="M32" s="488" t="s">
        <v>219</v>
      </c>
      <c r="N32" s="489"/>
      <c r="O32" s="264"/>
      <c r="P32" s="256"/>
    </row>
    <row r="33" spans="1:16" x14ac:dyDescent="0.25">
      <c r="A33" s="250" t="s">
        <v>37</v>
      </c>
      <c r="B33" s="263"/>
      <c r="C33" s="264"/>
      <c r="D33" s="256"/>
      <c r="E33" s="250" t="s">
        <v>37</v>
      </c>
      <c r="F33" s="263"/>
      <c r="G33" s="264"/>
      <c r="H33" s="256"/>
      <c r="I33" s="250" t="s">
        <v>37</v>
      </c>
      <c r="J33" s="263"/>
      <c r="K33" s="264"/>
      <c r="L33" s="256"/>
      <c r="M33" s="250" t="s">
        <v>37</v>
      </c>
      <c r="N33" s="263"/>
      <c r="O33" s="264"/>
      <c r="P33" s="256"/>
    </row>
    <row r="34" spans="1:16" x14ac:dyDescent="0.25">
      <c r="A34" s="250" t="s">
        <v>41</v>
      </c>
      <c r="B34" s="263"/>
      <c r="C34" s="264"/>
      <c r="D34" s="256"/>
      <c r="E34" s="250" t="s">
        <v>41</v>
      </c>
      <c r="F34" s="263"/>
      <c r="G34" s="264"/>
      <c r="H34" s="256"/>
      <c r="I34" s="250" t="s">
        <v>41</v>
      </c>
      <c r="J34" s="263"/>
      <c r="K34" s="264"/>
      <c r="L34" s="256"/>
      <c r="M34" s="250" t="s">
        <v>41</v>
      </c>
      <c r="N34" s="263"/>
      <c r="O34" s="264"/>
      <c r="P34" s="256"/>
    </row>
    <row r="35" spans="1:16" x14ac:dyDescent="0.25">
      <c r="A35" s="250" t="s">
        <v>38</v>
      </c>
      <c r="B35" s="263"/>
      <c r="C35" s="264"/>
      <c r="D35" s="256"/>
      <c r="E35" s="250" t="s">
        <v>38</v>
      </c>
      <c r="F35" s="263"/>
      <c r="G35" s="264"/>
      <c r="H35" s="256"/>
      <c r="I35" s="250" t="s">
        <v>38</v>
      </c>
      <c r="J35" s="263"/>
      <c r="K35" s="264"/>
      <c r="L35" s="256"/>
      <c r="M35" s="250" t="s">
        <v>38</v>
      </c>
      <c r="N35" s="263"/>
      <c r="O35" s="264"/>
      <c r="P35" s="256"/>
    </row>
    <row r="36" spans="1:16" x14ac:dyDescent="0.25">
      <c r="A36" s="250" t="s">
        <v>40</v>
      </c>
      <c r="B36" s="263"/>
      <c r="C36" s="264"/>
      <c r="D36" s="256"/>
      <c r="E36" s="250" t="s">
        <v>40</v>
      </c>
      <c r="F36" s="263"/>
      <c r="G36" s="264"/>
      <c r="H36" s="256"/>
      <c r="I36" s="250" t="s">
        <v>40</v>
      </c>
      <c r="J36" s="263"/>
      <c r="K36" s="264"/>
      <c r="L36" s="256"/>
      <c r="M36" s="250" t="s">
        <v>40</v>
      </c>
      <c r="N36" s="263"/>
      <c r="O36" s="264"/>
      <c r="P36" s="256"/>
    </row>
    <row r="37" spans="1:16" x14ac:dyDescent="0.25">
      <c r="A37" s="250" t="s">
        <v>39</v>
      </c>
      <c r="B37" s="263"/>
      <c r="C37" s="264"/>
      <c r="D37" s="256"/>
      <c r="E37" s="250" t="s">
        <v>39</v>
      </c>
      <c r="F37" s="263"/>
      <c r="G37" s="264"/>
      <c r="H37" s="256"/>
      <c r="I37" s="250" t="s">
        <v>39</v>
      </c>
      <c r="J37" s="263"/>
      <c r="K37" s="264"/>
      <c r="L37" s="256"/>
      <c r="M37" s="250" t="s">
        <v>39</v>
      </c>
      <c r="N37" s="263"/>
      <c r="O37" s="264"/>
      <c r="P37" s="256"/>
    </row>
    <row r="38" spans="1:16" x14ac:dyDescent="0.25">
      <c r="A38" s="281" t="s">
        <v>74</v>
      </c>
      <c r="B38" s="266" t="s">
        <v>75</v>
      </c>
      <c r="C38" s="264"/>
      <c r="D38" s="256"/>
      <c r="E38" s="254" t="s">
        <v>74</v>
      </c>
      <c r="F38" s="266" t="s">
        <v>75</v>
      </c>
      <c r="G38" s="264"/>
      <c r="H38" s="256"/>
      <c r="I38" s="254" t="s">
        <v>74</v>
      </c>
      <c r="J38" s="266" t="s">
        <v>75</v>
      </c>
      <c r="K38" s="264"/>
      <c r="L38" s="256"/>
      <c r="M38" s="281" t="s">
        <v>74</v>
      </c>
      <c r="N38" s="266" t="s">
        <v>75</v>
      </c>
      <c r="O38" s="264"/>
      <c r="P38" s="256"/>
    </row>
    <row r="39" spans="1:16" x14ac:dyDescent="0.25">
      <c r="A39" s="283" t="str">
        <f>IF($C$6="Met","","2016-17 Total")</f>
        <v>2016-17 Total</v>
      </c>
      <c r="B39" s="268">
        <f>IF(A39="","",IF($B$1="Eligibility",'10. 16-17 Exc &amp; Adj'!$C$46,IF($B$1="Compliance",'10. 16-17 Exc &amp; Adj'!$J$46)))</f>
        <v>0</v>
      </c>
      <c r="C39" s="264"/>
      <c r="D39" s="256"/>
      <c r="E39" s="267" t="str">
        <f>IF($G$6="Met","","2016-17 Total")</f>
        <v>2016-17 Total</v>
      </c>
      <c r="F39" s="268">
        <f>IF(E39="","",IF($B$1="Eligibility",'10. 16-17 Exc &amp; Adj'!$C$46,IF($B$1="Compliance",'10. 16-17 Exc &amp; Adj'!$J$46)))</f>
        <v>0</v>
      </c>
      <c r="G39" s="264"/>
      <c r="H39" s="256"/>
      <c r="I39" s="267" t="str">
        <f>IF($K$6="Met","","2016-17 Total")</f>
        <v>2016-17 Total</v>
      </c>
      <c r="J39" s="268">
        <f>IF(I39="","",IF($B$1="Eligibility",'10. 16-17 Exc &amp; Adj'!$C$46,IF($B$1="Compliance",'10. 16-17 Exc &amp; Adj'!$J$46)))</f>
        <v>0</v>
      </c>
      <c r="K39" s="264"/>
      <c r="L39" s="256"/>
      <c r="M39" s="283" t="str">
        <f>IF($O$6="Met","","2016-17 Total")</f>
        <v>2016-17 Total</v>
      </c>
      <c r="N39" s="268">
        <f>IF(M39="","",IF($B$1="Eligibility",'10. 16-17 Exc &amp; Adj'!$C$46,IF($B$1="Compliance",'10. 16-17 Exc &amp; Adj'!$J$46)))</f>
        <v>0</v>
      </c>
      <c r="O39" s="264"/>
      <c r="P39" s="256"/>
    </row>
    <row r="40" spans="1:16" x14ac:dyDescent="0.25">
      <c r="A40" s="388" t="str">
        <f>IF($C$6="Met","",IF(B$4="2015-2016","","2015-16 Total"))</f>
        <v>2015-16 Total</v>
      </c>
      <c r="B40" s="268">
        <f>IF(A40="","",IF($B$1="Eligibility",'7. 15-16 Exc &amp; Adj'!$C$46,IF($B$1="Compliance",'7. 15-16 Exc &amp; Adj'!$J$46)))</f>
        <v>0</v>
      </c>
      <c r="C40" s="264"/>
      <c r="D40" s="256"/>
      <c r="E40" s="257" t="str">
        <f>IF(G$6="Met","",IF(F$4="2015-2016","","2015-16 Total"))</f>
        <v>2015-16 Total</v>
      </c>
      <c r="F40" s="268">
        <f>IF(E40="","",IF($B$1="Eligibility",'7. 15-16 Exc &amp; Adj'!$C$46,IF($B$1="Compliance",'7. 15-16 Exc &amp; Adj'!$J$46)))</f>
        <v>0</v>
      </c>
      <c r="G40" s="264"/>
      <c r="H40" s="256"/>
      <c r="I40" s="257" t="str">
        <f>IF(K$6="Met","",IF(J$4="2015-2016","","2015-16 Total"))</f>
        <v>2015-16 Total</v>
      </c>
      <c r="J40" s="268">
        <f>IF(I40="","",IF($B$1="Eligibility",'7. 15-16 Exc &amp; Adj'!$C$46,IF($B$1="Compliance",'7. 15-16 Exc &amp; Adj'!$J$46)))</f>
        <v>0</v>
      </c>
      <c r="K40" s="264"/>
      <c r="L40" s="256"/>
      <c r="M40" s="388" t="str">
        <f>IF(O$6="Met","",IF(N$4="2015-2016","","2015-16 Total"))</f>
        <v>2015-16 Total</v>
      </c>
      <c r="N40" s="268">
        <f>IF(M40="","",IF($B$1="Eligibility",'7. 15-16 Exc &amp; Adj'!$C$46,IF($B$1="Compliance",'7. 15-16 Exc &amp; Adj'!$J$46)))</f>
        <v>0</v>
      </c>
      <c r="O40" s="264"/>
      <c r="P40" s="256"/>
    </row>
    <row r="41" spans="1:16" x14ac:dyDescent="0.25">
      <c r="A41" s="388" t="str">
        <f>IF(C$6="Met","",IF(OR(B$4="2015-2016",B$4="2014-2015"),"","2014-15 Total"))</f>
        <v>2014-15 Total</v>
      </c>
      <c r="B41" s="268">
        <f>IF(A41="","",'23. 14-15 Exc &amp; Adj'!C45)</f>
        <v>0</v>
      </c>
      <c r="C41" s="264"/>
      <c r="D41" s="256"/>
      <c r="E41" s="257" t="str">
        <f>IF(G$6="Met","",IF(OR(F$4="2015-2016",F$4="2014-2015"),"","2014-15 Total"))</f>
        <v>2014-15 Total</v>
      </c>
      <c r="F41" s="268">
        <f>IF(E41="","",'23. 14-15 Exc &amp; Adj'!C45)</f>
        <v>0</v>
      </c>
      <c r="G41" s="264"/>
      <c r="H41" s="256"/>
      <c r="I41" s="257" t="str">
        <f>IF(K$6="Met","",IF(OR(J$4="2015-2016",J$4="2014-2015"),"","2014-15 Total"))</f>
        <v>2014-15 Total</v>
      </c>
      <c r="J41" s="268">
        <f>IF(I41="","",'23. 14-15 Exc &amp; Adj'!C45)</f>
        <v>0</v>
      </c>
      <c r="K41" s="264"/>
      <c r="L41" s="256"/>
      <c r="M41" s="388" t="str">
        <f>IF(O$6="Met","",IF(OR(N$4="2015-2016",N$4="2014-2015"),"","2014-15 Total"))</f>
        <v>2014-15 Total</v>
      </c>
      <c r="N41" s="268">
        <f>IF(M41="","",'23. 14-15 Exc &amp; Adj'!C45)</f>
        <v>0</v>
      </c>
      <c r="O41" s="264"/>
      <c r="P41" s="256"/>
    </row>
    <row r="42" spans="1:16" x14ac:dyDescent="0.25">
      <c r="A42" s="288" t="str">
        <f>IF(C$6="Met","",IF(OR(B$4="2015-2016",B$4="2014-2015",B$4="2013-2014"),"","2013-14 Total"))</f>
        <v>2013-14 Total</v>
      </c>
      <c r="B42" s="268">
        <f>IF(A42="","",'22. 13-14 Exc &amp; Adj'!C45)</f>
        <v>0</v>
      </c>
      <c r="C42" s="264"/>
      <c r="D42" s="256"/>
      <c r="E42" s="259" t="str">
        <f>IF(G$6="Met","",IF(OR(F$4="2015-2016",F$4="2014-2015",F$4="2013-2014"),"","2013-14 Total"))</f>
        <v>2013-14 Total</v>
      </c>
      <c r="F42" s="268">
        <f>IF(E42="","",'22. 13-14 Exc &amp; Adj'!C45)</f>
        <v>0</v>
      </c>
      <c r="G42" s="264"/>
      <c r="H42" s="256"/>
      <c r="I42" s="259" t="str">
        <f>IF(K$6="Met","",IF(OR(J$4="2015-2016",J$4="2014-2015",J$4="2013-2014"),"","2013-14 Total"))</f>
        <v>2013-14 Total</v>
      </c>
      <c r="J42" s="268">
        <f>IF(I42="","",'22. 13-14 Exc &amp; Adj'!C45)</f>
        <v>0</v>
      </c>
      <c r="K42" s="264"/>
      <c r="L42" s="256"/>
      <c r="M42" s="288" t="str">
        <f>IF(O$6="Met","",IF(OR(N$4="2015-2016",N$4="2014-2015",N$4="2013-2014"),"","2013-14 Total"))</f>
        <v>2013-14 Total</v>
      </c>
      <c r="N42" s="268">
        <f>IF(M42="","",'22. 13-14 Exc &amp; Adj'!C45)</f>
        <v>0</v>
      </c>
      <c r="O42" s="264"/>
      <c r="P42" s="256"/>
    </row>
    <row r="43" spans="1:16" x14ac:dyDescent="0.25">
      <c r="A43" s="288" t="str">
        <f>IF(C$6="Met","",IF(OR(B$4="2015-2016",B$4="2014-2015",B$4="2013-2014",B$4="2012-2013"),"","2012-13 Total"))</f>
        <v>2012-13 Total</v>
      </c>
      <c r="B43" s="268">
        <f>IF(A43="","",'21. 12-13 Exc &amp; Adj'!C45)</f>
        <v>0</v>
      </c>
      <c r="C43" s="264"/>
      <c r="D43" s="256"/>
      <c r="E43" s="260" t="str">
        <f>IF(G$6="Met","",IF(OR(F$4="2015-2016",F$4="2014-2015",F$4="2013-2014",F$4="2012-2013"),"","2012-13 Total"))</f>
        <v>2012-13 Total</v>
      </c>
      <c r="F43" s="268">
        <f>IF(E43="","",'21. 12-13 Exc &amp; Adj'!C45)</f>
        <v>0</v>
      </c>
      <c r="G43" s="264"/>
      <c r="H43" s="256"/>
      <c r="I43" s="260" t="str">
        <f>IF(K$6="Met","",IF(OR(J$4="2015-2016",J$4="2014-2015",J$4="2013-2014",J$4="2012-2013"),"","2012-13 Total"))</f>
        <v>2012-13 Total</v>
      </c>
      <c r="J43" s="268">
        <f>IF(I43="","",'21. 12-13 Exc &amp; Adj'!C45)</f>
        <v>0</v>
      </c>
      <c r="K43" s="264"/>
      <c r="L43" s="256"/>
      <c r="M43" s="389" t="str">
        <f>IF(O$6="Met","",IF(OR(N$4="2015-2016",N$4="2014-2015",N$4="2013-2014",N$4="2012-2013"),"","2012-13 Total"))</f>
        <v>2012-13 Total</v>
      </c>
      <c r="N43" s="268">
        <f>IF(M43="","",'21. 12-13 Exc &amp; Adj'!C45)</f>
        <v>0</v>
      </c>
      <c r="O43" s="264"/>
      <c r="P43" s="256"/>
    </row>
    <row r="44" spans="1:16" x14ac:dyDescent="0.25">
      <c r="A44" s="288" t="str">
        <f>IF(C$6="Met","",IF(OR(B$4="2015-2016",B$4="2014-2015",B$4="2013-2014",B$4="2012-2013",B$4="2011-2012"),"","2011-12 Total"))</f>
        <v>2011-12 Total</v>
      </c>
      <c r="B44" s="268">
        <f>IF(A44="","",'20. 11-12 Exc &amp; Adj'!C45)</f>
        <v>0</v>
      </c>
      <c r="C44" s="264"/>
      <c r="D44" s="256"/>
      <c r="E44" s="393" t="str">
        <f>IF(G$6="Met","",IF(OR(F$4="2015-2016",F$4="2014-2015",F$4="2013-2014",F$4="2012-2013",F$4="2011-2012"),"","2011-12 Total"))</f>
        <v>2011-12 Total</v>
      </c>
      <c r="F44" s="268">
        <f>IF(E44="","",'20. 11-12 Exc &amp; Adj'!C45)</f>
        <v>0</v>
      </c>
      <c r="G44" s="264"/>
      <c r="H44" s="256"/>
      <c r="I44" s="393" t="str">
        <f>IF(K$6="Met","",IF(OR(J$4="2015-2016",J$4="2014-2015",J$4="2013-2014",J$4="2012-2013",J$4="2011-2012"),"","2011-12 Total"))</f>
        <v>2011-12 Total</v>
      </c>
      <c r="J44" s="268">
        <f>IF(I44="","",'20. 11-12 Exc &amp; Adj'!C45)</f>
        <v>0</v>
      </c>
      <c r="K44" s="264"/>
      <c r="L44" s="256"/>
      <c r="M44" s="395" t="str">
        <f>IF(O$6="Met","",IF(OR(N$4="2015-2016",N$4="2014-2015",N$4="2013-2014",N$4="2012-2013",N$4="2011-2012"),"","2011-12 Total"))</f>
        <v>2011-12 Total</v>
      </c>
      <c r="N44" s="268">
        <f>IF(M44="","",'20. 11-12 Exc &amp; Adj'!C45)</f>
        <v>0</v>
      </c>
      <c r="O44" s="264"/>
      <c r="P44" s="256"/>
    </row>
    <row r="45" spans="1:16" x14ac:dyDescent="0.25">
      <c r="A45" s="494" t="s">
        <v>219</v>
      </c>
      <c r="B45" s="495"/>
      <c r="C45" s="264"/>
      <c r="D45" s="256"/>
      <c r="E45" s="494" t="s">
        <v>219</v>
      </c>
      <c r="F45" s="495"/>
      <c r="G45" s="264"/>
      <c r="H45" s="256"/>
      <c r="I45" s="494" t="s">
        <v>219</v>
      </c>
      <c r="J45" s="495"/>
      <c r="K45" s="264"/>
      <c r="L45" s="256"/>
      <c r="M45" s="494" t="s">
        <v>219</v>
      </c>
      <c r="N45" s="495"/>
      <c r="O45" s="264"/>
      <c r="P45" s="256"/>
    </row>
    <row r="46" spans="1:16" x14ac:dyDescent="0.25">
      <c r="A46" s="250" t="s">
        <v>42</v>
      </c>
      <c r="B46" s="263"/>
      <c r="C46" s="264"/>
      <c r="D46" s="256"/>
      <c r="E46" s="250" t="s">
        <v>42</v>
      </c>
      <c r="F46" s="263"/>
      <c r="G46" s="264"/>
      <c r="H46" s="256"/>
      <c r="I46" s="250" t="s">
        <v>42</v>
      </c>
      <c r="J46" s="263"/>
      <c r="K46" s="264"/>
      <c r="L46" s="256"/>
      <c r="M46" s="250" t="s">
        <v>42</v>
      </c>
      <c r="N46" s="263"/>
      <c r="O46" s="264"/>
      <c r="P46" s="256"/>
    </row>
    <row r="47" spans="1:16" x14ac:dyDescent="0.25">
      <c r="A47" s="250" t="s">
        <v>43</v>
      </c>
      <c r="B47" s="263"/>
      <c r="C47" s="264"/>
      <c r="D47" s="256"/>
      <c r="E47" s="250" t="s">
        <v>43</v>
      </c>
      <c r="F47" s="263"/>
      <c r="G47" s="264"/>
      <c r="H47" s="256"/>
      <c r="I47" s="250" t="s">
        <v>43</v>
      </c>
      <c r="J47" s="263"/>
      <c r="K47" s="264"/>
      <c r="L47" s="256"/>
      <c r="M47" s="250" t="s">
        <v>43</v>
      </c>
      <c r="N47" s="263"/>
      <c r="O47" s="264"/>
      <c r="P47" s="256"/>
    </row>
    <row r="48" spans="1:16" x14ac:dyDescent="0.25">
      <c r="A48" s="281" t="s">
        <v>74</v>
      </c>
      <c r="B48" s="255" t="s">
        <v>75</v>
      </c>
      <c r="C48" s="264"/>
      <c r="D48" s="256"/>
      <c r="E48" s="254" t="s">
        <v>74</v>
      </c>
      <c r="F48" s="255" t="s">
        <v>75</v>
      </c>
      <c r="G48" s="264"/>
      <c r="H48" s="256"/>
      <c r="I48" s="254" t="s">
        <v>74</v>
      </c>
      <c r="J48" s="255" t="s">
        <v>75</v>
      </c>
      <c r="K48" s="264"/>
      <c r="L48" s="256"/>
      <c r="M48" s="281" t="s">
        <v>74</v>
      </c>
      <c r="N48" s="255" t="s">
        <v>75</v>
      </c>
      <c r="O48" s="264"/>
      <c r="P48" s="256"/>
    </row>
    <row r="49" spans="1:16" x14ac:dyDescent="0.25">
      <c r="A49" s="283" t="str">
        <f>IF($C$6="Met","","2016-17 Total")</f>
        <v>2016-17 Total</v>
      </c>
      <c r="B49" s="270">
        <f>IF(A49="","",IF($B$1="Eligibility",'10. 16-17 Exc &amp; Adj'!$B$56,IF($B$1="Compliance",'10. 16-17 Exc &amp; Adj'!$I$56)))</f>
        <v>0</v>
      </c>
      <c r="C49" s="264"/>
      <c r="D49" s="256"/>
      <c r="E49" s="267" t="str">
        <f>IF($G$6="Met","","2016-17 Total")</f>
        <v>2016-17 Total</v>
      </c>
      <c r="F49" s="270">
        <f>IF(E49="","",IF($B$1="Eligibility",'10. 16-17 Exc &amp; Adj'!$B$56,IF($B$1="Compliance",'10. 16-17 Exc &amp; Adj'!$I$56)))</f>
        <v>0</v>
      </c>
      <c r="G49" s="264"/>
      <c r="H49" s="256"/>
      <c r="I49" s="267" t="str">
        <f>IF($K$6="Met","","2016-17 Total")</f>
        <v>2016-17 Total</v>
      </c>
      <c r="J49" s="270">
        <f>IF(I49="","",IF($B$1="Eligibility",'10. 16-17 Exc &amp; Adj'!$B$56,IF($B$1="Compliance",'10. 16-17 Exc &amp; Adj'!$I$56)))</f>
        <v>0</v>
      </c>
      <c r="K49" s="264"/>
      <c r="L49" s="256"/>
      <c r="M49" s="283" t="str">
        <f>IF($O$6="Met","","2016-17 Total")</f>
        <v>2016-17 Total</v>
      </c>
      <c r="N49" s="270">
        <f>IF(M49="","",IF($B$1="Eligibility",'10. 16-17 Exc &amp; Adj'!$B$56,IF($B$1="Compliance",'10. 16-17 Exc &amp; Adj'!$I$56)))</f>
        <v>0</v>
      </c>
      <c r="O49" s="264"/>
      <c r="P49" s="256"/>
    </row>
    <row r="50" spans="1:16" x14ac:dyDescent="0.25">
      <c r="A50" s="388" t="str">
        <f>IF($C$6="Met","",IF(B$4="2015-2016","","2015-16 Total"))</f>
        <v>2015-16 Total</v>
      </c>
      <c r="B50" s="270">
        <f>IF(A50="","",IF($B$1="Eligibility",'7. 15-16 Exc &amp; Adj'!$B$56,IF($B$1="Compliance",'7. 15-16 Exc &amp; Adj'!$I$56)))</f>
        <v>0</v>
      </c>
      <c r="C50" s="264"/>
      <c r="D50" s="256"/>
      <c r="E50" s="257" t="str">
        <f>IF(G$6="Met","",IF(F$4="2015-2016","","2015-16 Total"))</f>
        <v>2015-16 Total</v>
      </c>
      <c r="F50" s="270">
        <f>IF(E50="","",IF($B$1="Eligibility",'7. 15-16 Exc &amp; Adj'!$B$56,IF($B$1="Compliance",'7. 15-16 Exc &amp; Adj'!$I$56)))</f>
        <v>0</v>
      </c>
      <c r="G50" s="264"/>
      <c r="H50" s="256"/>
      <c r="I50" s="257" t="str">
        <f>IF(K$6="Met","",IF(J$4="2015-2016","","2015-16 Total"))</f>
        <v>2015-16 Total</v>
      </c>
      <c r="J50" s="270">
        <f>IF(I50="","",IF($B$1="Eligibility",'7. 15-16 Exc &amp; Adj'!$B$56,IF($B$1="Compliance",'7. 15-16 Exc &amp; Adj'!$I$56)))</f>
        <v>0</v>
      </c>
      <c r="K50" s="264"/>
      <c r="L50" s="256"/>
      <c r="M50" s="388" t="str">
        <f>IF(O$6="Met","",IF(N$4="2015-2016","","2015-16 Total"))</f>
        <v>2015-16 Total</v>
      </c>
      <c r="N50" s="270">
        <f>IF(M50="","",IF($B$1="Eligibility",'7. 15-16 Exc &amp; Adj'!$B$56,IF($B$1="Compliance",'7. 15-16 Exc &amp; Adj'!$I$56)))</f>
        <v>0</v>
      </c>
      <c r="O50" s="264"/>
      <c r="P50" s="256"/>
    </row>
    <row r="51" spans="1:16" x14ac:dyDescent="0.25">
      <c r="A51" s="388" t="str">
        <f>IF(C$6="Met","",IF(OR(B$4="2015-2016",B$4="2014-2015"),"","2014-15 Total"))</f>
        <v>2014-15 Total</v>
      </c>
      <c r="B51" s="270">
        <f>IF(A51="","",'23. 14-15 Exc &amp; Adj'!B55)</f>
        <v>0</v>
      </c>
      <c r="C51" s="264"/>
      <c r="D51" s="256"/>
      <c r="E51" s="257" t="str">
        <f>IF(G$6="Met","",IF(OR(F$4="2015-2016",F$4="2014-2015"),"","2014-15 Total"))</f>
        <v>2014-15 Total</v>
      </c>
      <c r="F51" s="270">
        <f>IF(E51="","",'23. 14-15 Exc &amp; Adj'!B55)</f>
        <v>0</v>
      </c>
      <c r="G51" s="264"/>
      <c r="H51" s="256"/>
      <c r="I51" s="257" t="str">
        <f>IF(K$6="Met","",IF(OR(J$4="2015-2016",J$4="2014-2015"),"","2014-15 Total"))</f>
        <v>2014-15 Total</v>
      </c>
      <c r="J51" s="270">
        <f>IF(I51="","",'23. 14-15 Exc &amp; Adj'!B55)</f>
        <v>0</v>
      </c>
      <c r="K51" s="264"/>
      <c r="L51" s="256"/>
      <c r="M51" s="388" t="str">
        <f>IF(O$6="Met","",IF(OR(N$4="2015-2016",N$4="2014-2015"),"","2014-15 Total"))</f>
        <v>2014-15 Total</v>
      </c>
      <c r="N51" s="270">
        <f>IF(M51="","",'23. 14-15 Exc &amp; Adj'!B55)</f>
        <v>0</v>
      </c>
      <c r="O51" s="264"/>
      <c r="P51" s="256"/>
    </row>
    <row r="52" spans="1:16" x14ac:dyDescent="0.25">
      <c r="A52" s="288" t="str">
        <f>IF(C$6="Met","",IF(OR(B$4="2015-2016",B$4="2014-2015",B$4="2013-2014"),"","2013-14 Total"))</f>
        <v>2013-14 Total</v>
      </c>
      <c r="B52" s="270">
        <f>IF(A52="","",'22. 13-14 Exc &amp; Adj'!B55)</f>
        <v>0</v>
      </c>
      <c r="C52" s="264"/>
      <c r="D52" s="256"/>
      <c r="E52" s="259" t="str">
        <f>IF(G$6="Met","",IF(OR(F$4="2015-2016",F$4="2014-2015",F$4="2013-2014"),"","2013-14 Total"))</f>
        <v>2013-14 Total</v>
      </c>
      <c r="F52" s="270">
        <f>IF(E52="","",'22. 13-14 Exc &amp; Adj'!B55)</f>
        <v>0</v>
      </c>
      <c r="G52" s="264"/>
      <c r="H52" s="256"/>
      <c r="I52" s="259" t="str">
        <f>IF(K$6="Met","",IF(OR(J$4="2015-2016",J$4="2014-2015",J$4="2013-2014"),"","2013-14 Total"))</f>
        <v>2013-14 Total</v>
      </c>
      <c r="J52" s="270">
        <f>IF(I52="","",'22. 13-14 Exc &amp; Adj'!B55)</f>
        <v>0</v>
      </c>
      <c r="K52" s="264"/>
      <c r="L52" s="256"/>
      <c r="M52" s="288" t="str">
        <f>IF(O$6="Met","",IF(OR(N$4="2015-2016",N$4="2014-2015",N$4="2013-2014"),"","2013-14 Total"))</f>
        <v>2013-14 Total</v>
      </c>
      <c r="N52" s="270">
        <f>IF(M52="","",'22. 13-14 Exc &amp; Adj'!B55)</f>
        <v>0</v>
      </c>
      <c r="O52" s="264"/>
      <c r="P52" s="256"/>
    </row>
    <row r="53" spans="1:16" x14ac:dyDescent="0.25">
      <c r="A53" s="389" t="str">
        <f>IF(C$6="Met","",IF(OR(B$4="2015-2016",B$4="2014-2015",B$4="2013-2014",B$4="2012-2013"),"","2012-13 Total"))</f>
        <v>2012-13 Total</v>
      </c>
      <c r="B53" s="271">
        <f>IF(A53="","",'21. 12-13 Exc &amp; Adj'!B55)</f>
        <v>0</v>
      </c>
      <c r="C53" s="264"/>
      <c r="D53" s="256"/>
      <c r="E53" s="260" t="str">
        <f>IF(G$6="Met","",IF(OR(F$4="2015-2016",F$4="2014-2015",F$4="2013-2014",F$4="2012-2013"),"","2012-13 Total"))</f>
        <v>2012-13 Total</v>
      </c>
      <c r="F53" s="271">
        <f>IF(E53="","",'21. 12-13 Exc &amp; Adj'!B55)</f>
        <v>0</v>
      </c>
      <c r="G53" s="264"/>
      <c r="H53" s="256"/>
      <c r="I53" s="260" t="str">
        <f>IF(K$6="Met","",IF(OR(J$4="2015-2016",J$4="2014-2015",J$4="2013-2014",J$4="2012-2013"),"","2012-13 Total"))</f>
        <v>2012-13 Total</v>
      </c>
      <c r="J53" s="271">
        <f>IF(I53="","",'21. 12-13 Exc &amp; Adj'!B55)</f>
        <v>0</v>
      </c>
      <c r="K53" s="264"/>
      <c r="L53" s="256"/>
      <c r="M53" s="389" t="str">
        <f>IF(O$6="Met","",IF(OR(N$4="2015-2016",N$4="2014-2015",N$4="2013-2014",N$4="2012-2013"),"","2012-13 Total"))</f>
        <v>2012-13 Total</v>
      </c>
      <c r="N53" s="271">
        <f>IF(M53="","",'21. 12-13 Exc &amp; Adj'!B55)</f>
        <v>0</v>
      </c>
      <c r="O53" s="264"/>
      <c r="P53" s="256"/>
    </row>
    <row r="54" spans="1:16" x14ac:dyDescent="0.25">
      <c r="A54" s="288" t="str">
        <f>IF(C$6="Met","",IF(OR(B$4="2015-2016",B$4="2014-2015",B$4="2013-2014",B$4="2012-2013",B$4="2011-2012"),"","2011-12 Total"))</f>
        <v>2011-12 Total</v>
      </c>
      <c r="B54" s="271">
        <f>IF(A54="","",'20. 11-12 Exc &amp; Adj'!B55)</f>
        <v>0</v>
      </c>
      <c r="C54" s="264"/>
      <c r="D54" s="256"/>
      <c r="E54" s="391" t="str">
        <f>IF(G$6="Met","",IF(OR(F$4="2015-2016",F$4="2014-2015",F$4="2013-2014",F$4="2012-2013",F$4="2011-2012"),"","2011-12 Total"))</f>
        <v>2011-12 Total</v>
      </c>
      <c r="F54" s="271">
        <f>IF(E54="","",'20. 11-12 Exc &amp; Adj'!B55)</f>
        <v>0</v>
      </c>
      <c r="G54" s="264"/>
      <c r="H54" s="256"/>
      <c r="I54" s="391" t="str">
        <f>IF(K$6="Met","",IF(OR(J$4="2015-2016",J$4="2014-2015",J$4="2013-2014",J$4="2012-2013",J$4="2011-2012"),"","2011-12 Total"))</f>
        <v>2011-12 Total</v>
      </c>
      <c r="J54" s="271">
        <f>IF(I54="","",'20. 11-12 Exc &amp; Adj'!B56)</f>
        <v>0</v>
      </c>
      <c r="K54" s="264"/>
      <c r="L54" s="256"/>
      <c r="M54" s="283" t="str">
        <f>IF(O$6="Met","",IF(OR(N$4="2015-2016",N$4="2014-2015",N$4="2013-2014",N$4="2012-2013",N$4="2011-2012"),"","2011-12 Total"))</f>
        <v>2011-12 Total</v>
      </c>
      <c r="N54" s="268">
        <f>IF(M54="","",'20. 11-12 Exc &amp; Adj'!B55)</f>
        <v>0</v>
      </c>
      <c r="O54" s="264"/>
      <c r="P54" s="256"/>
    </row>
    <row r="55" spans="1:16" x14ac:dyDescent="0.25">
      <c r="A55" s="492" t="s">
        <v>219</v>
      </c>
      <c r="B55" s="493"/>
      <c r="C55" s="264"/>
      <c r="D55" s="256"/>
      <c r="E55" s="488" t="s">
        <v>219</v>
      </c>
      <c r="F55" s="489"/>
      <c r="G55" s="264"/>
      <c r="H55" s="256"/>
      <c r="I55" s="488" t="s">
        <v>219</v>
      </c>
      <c r="J55" s="489"/>
      <c r="K55" s="264"/>
      <c r="L55" s="256"/>
      <c r="M55" s="494" t="s">
        <v>219</v>
      </c>
      <c r="N55" s="495"/>
      <c r="O55" s="264"/>
      <c r="P55" s="256"/>
    </row>
    <row r="56" spans="1:16" x14ac:dyDescent="0.25">
      <c r="A56" s="250" t="s">
        <v>44</v>
      </c>
      <c r="B56" s="263"/>
      <c r="C56" s="264"/>
      <c r="D56" s="256"/>
      <c r="E56" s="250" t="s">
        <v>44</v>
      </c>
      <c r="F56" s="263"/>
      <c r="G56" s="264"/>
      <c r="H56" s="256"/>
      <c r="I56" s="250" t="s">
        <v>44</v>
      </c>
      <c r="J56" s="263"/>
      <c r="K56" s="264"/>
      <c r="L56" s="256"/>
      <c r="M56" s="250" t="s">
        <v>44</v>
      </c>
      <c r="N56" s="263"/>
      <c r="O56" s="264"/>
      <c r="P56" s="256"/>
    </row>
    <row r="57" spans="1:16" x14ac:dyDescent="0.25">
      <c r="A57" s="250" t="s">
        <v>222</v>
      </c>
      <c r="B57" s="263"/>
      <c r="C57" s="264"/>
      <c r="E57" s="250" t="s">
        <v>222</v>
      </c>
      <c r="F57" s="263"/>
      <c r="G57" s="264"/>
      <c r="I57" s="250" t="s">
        <v>222</v>
      </c>
      <c r="J57" s="263"/>
      <c r="K57" s="264"/>
      <c r="L57" s="219"/>
      <c r="M57" s="250" t="s">
        <v>222</v>
      </c>
      <c r="N57" s="263"/>
      <c r="O57" s="264"/>
      <c r="P57" s="219"/>
    </row>
    <row r="58" spans="1:16" x14ac:dyDescent="0.25">
      <c r="A58" s="281" t="s">
        <v>74</v>
      </c>
      <c r="B58" s="255" t="s">
        <v>75</v>
      </c>
      <c r="C58" s="264"/>
      <c r="D58" s="272"/>
      <c r="E58" s="254" t="s">
        <v>74</v>
      </c>
      <c r="F58" s="255" t="s">
        <v>75</v>
      </c>
      <c r="G58" s="264"/>
      <c r="H58" s="272"/>
      <c r="I58" s="254" t="s">
        <v>74</v>
      </c>
      <c r="J58" s="255" t="s">
        <v>75</v>
      </c>
      <c r="K58" s="264"/>
      <c r="L58" s="272"/>
      <c r="M58" s="281" t="s">
        <v>74</v>
      </c>
      <c r="N58" s="255" t="s">
        <v>75</v>
      </c>
      <c r="O58" s="264"/>
      <c r="P58" s="272"/>
    </row>
    <row r="59" spans="1:16" x14ac:dyDescent="0.25">
      <c r="A59" s="283" t="str">
        <f>IF($C$6="Met","","2016-17 Total")</f>
        <v>2016-17 Total</v>
      </c>
      <c r="B59" s="270">
        <f>IF(A59="","",IF($B$1="Eligibility",'10. 16-17 Exc &amp; Adj'!$B$66,IF($B$1="Compliance",'10. 16-17 Exc &amp; Adj'!$I$66)))</f>
        <v>0</v>
      </c>
      <c r="C59" s="264"/>
      <c r="D59" s="273"/>
      <c r="E59" s="267" t="str">
        <f>IF($G$6="Met","","2016-17 Total")</f>
        <v>2016-17 Total</v>
      </c>
      <c r="F59" s="270">
        <f>IF(E59="","",IF($B$1="Eligibility",'10. 16-17 Exc &amp; Adj'!$B$66,IF($B$1="Compliance",'10. 16-17 Exc &amp; Adj'!$I$66)))</f>
        <v>0</v>
      </c>
      <c r="G59" s="264"/>
      <c r="H59" s="273"/>
      <c r="I59" s="267" t="str">
        <f>IF($G$6="Met","","2016-17 Total")</f>
        <v>2016-17 Total</v>
      </c>
      <c r="J59" s="270">
        <f>IF(I59="","",IF($B$1="Eligibility",'10. 16-17 Exc &amp; Adj'!$B$66,IF($B$1="Compliance",'10. 16-17 Exc &amp; Adj'!$I$66)))</f>
        <v>0</v>
      </c>
      <c r="K59" s="264"/>
      <c r="L59" s="273"/>
      <c r="M59" s="283" t="str">
        <f>IF($G$6="Met","","2016-17 Total")</f>
        <v>2016-17 Total</v>
      </c>
      <c r="N59" s="268">
        <f>IF(M59="","",IF($B$1="Eligibility",'10. 16-17 Exc &amp; Adj'!$B$66,IF($B$1="Compliance",'10. 16-17 Exc &amp; Adj'!$I$66)))</f>
        <v>0</v>
      </c>
      <c r="O59" s="264"/>
      <c r="P59" s="273"/>
    </row>
    <row r="60" spans="1:16" x14ac:dyDescent="0.25">
      <c r="A60" s="388" t="str">
        <f>IF($C$6="Met","",IF(B$4="2015-2016","","2015-16 Total"))</f>
        <v>2015-16 Total</v>
      </c>
      <c r="B60" s="270">
        <f>IF(A60="","",IF($B$1="Eligibility",'7. 15-16 Exc &amp; Adj'!$B$66,IF($B$1="Compliance",'7. 15-16 Exc &amp; Adj'!$I$66)))</f>
        <v>0</v>
      </c>
      <c r="C60" s="264"/>
      <c r="D60" s="220"/>
      <c r="E60" s="257" t="str">
        <f>IF(G$6="Met","",IF(F$4="2015-2016","","2015-16 Total"))</f>
        <v>2015-16 Total</v>
      </c>
      <c r="F60" s="270">
        <f>IF(E60="","",IF($B$1="Eligibility",'7. 15-16 Exc &amp; Adj'!$B$66,IF($B$1="Compliance",'7. 15-16 Exc &amp; Adj'!$I$66)))</f>
        <v>0</v>
      </c>
      <c r="G60" s="264"/>
      <c r="H60" s="220"/>
      <c r="I60" s="257" t="str">
        <f>IF(K$6="Met","",IF(J$4="2015-2016","","2015-16 Total"))</f>
        <v>2015-16 Total</v>
      </c>
      <c r="J60" s="270">
        <f>IF(I60="","",IF($B$1="Eligibility",'7. 15-16 Exc &amp; Adj'!$B$66,IF($B$1="Compliance",'7. 15-16 Exc &amp; Adj'!$I$66)))</f>
        <v>0</v>
      </c>
      <c r="K60" s="264"/>
      <c r="M60" s="388" t="str">
        <f>IF(O$6="Met","",IF(N$4="2015-2016","","2015-16 Total"))</f>
        <v>2015-16 Total</v>
      </c>
      <c r="N60" s="268">
        <f>IF(M60="","",IF($B$1="Eligibility",'7. 15-16 Exc &amp; Adj'!$B$66,IF($B$1="Compliance",'7. 15-16 Exc &amp; Adj'!$I$66)))</f>
        <v>0</v>
      </c>
      <c r="O60" s="264"/>
    </row>
    <row r="61" spans="1:16" x14ac:dyDescent="0.25">
      <c r="A61" s="388" t="str">
        <f>IF(C$6="Met","",IF(OR(B$4="2015-2016",B$4="2014-2015"),"","2014-15 Total"))</f>
        <v>2014-15 Total</v>
      </c>
      <c r="B61" s="270">
        <f>IF(A61="","",'23. 14-15 Exc &amp; Adj'!B65)</f>
        <v>0</v>
      </c>
      <c r="C61" s="264"/>
      <c r="E61" s="257" t="str">
        <f>IF(G$6="Met","",IF(OR(F$4="2015-2016",F$4="2014-2015"),"","2014-15 Total"))</f>
        <v>2014-15 Total</v>
      </c>
      <c r="F61" s="270">
        <f>IF(E61="","",'23. 14-15 Exc &amp; Adj'!B65)</f>
        <v>0</v>
      </c>
      <c r="G61" s="264"/>
      <c r="I61" s="257" t="str">
        <f>IF(K$6="Met","",IF(OR(J$4="2015-2016",J$4="2014-2015"),"","2014-15 Total"))</f>
        <v>2014-15 Total</v>
      </c>
      <c r="J61" s="270">
        <f>IF(I61="","",'23. 14-15 Exc &amp; Adj'!B65)</f>
        <v>0</v>
      </c>
      <c r="K61" s="264"/>
      <c r="M61" s="388" t="str">
        <f>IF(O$6="Met","",IF(OR(N$4="2015-2016",N$4="2014-2015"),"","2014-15 Total"))</f>
        <v>2014-15 Total</v>
      </c>
      <c r="N61" s="268">
        <f>IF(M61="","",'23. 14-15 Exc &amp; Adj'!B65)</f>
        <v>0</v>
      </c>
      <c r="O61" s="264"/>
      <c r="P61" s="219"/>
    </row>
    <row r="62" spans="1:16" x14ac:dyDescent="0.25">
      <c r="A62" s="288" t="str">
        <f>IF(C$6="Met","",IF(OR(B$4="2015-2016",B$4="2014-2015",B$4="2013-2014"),"","2013-14 Total"))</f>
        <v>2013-14 Total</v>
      </c>
      <c r="B62" s="270">
        <f>IF(A62="","",'22. 13-14 Exc &amp; Adj'!B65)</f>
        <v>0</v>
      </c>
      <c r="C62" s="264"/>
      <c r="E62" s="259" t="str">
        <f>IF(G$6="Met","",IF(OR(F$4="2015-2016",F$4="2014-2015",F$4="2013-2014"),"","2013-14 Total"))</f>
        <v>2013-14 Total</v>
      </c>
      <c r="F62" s="270">
        <f>IF(E62="","",'22. 13-14 Exc &amp; Adj'!B65)</f>
        <v>0</v>
      </c>
      <c r="G62" s="264"/>
      <c r="I62" s="259" t="str">
        <f>IF(K$6="Met","",IF(OR(J$4="2015-2016",J$4="2014-2015",J$4="2013-2014"),"","2013-14 Total"))</f>
        <v>2013-14 Total</v>
      </c>
      <c r="J62" s="270">
        <f>IF(I62="","",'22. 13-14 Exc &amp; Adj'!B65)</f>
        <v>0</v>
      </c>
      <c r="K62" s="264"/>
      <c r="M62" s="288" t="str">
        <f>IF(O$6="Met","",IF(OR(N$4="2015-2016",N$4="2014-2015",N$4="2013-2014"),"","2013-14 Total"))</f>
        <v>2013-14 Total</v>
      </c>
      <c r="N62" s="268">
        <f>IF(M62="","",'22. 13-14 Exc &amp; Adj'!B65)</f>
        <v>0</v>
      </c>
      <c r="O62" s="264"/>
      <c r="P62" s="219"/>
    </row>
    <row r="63" spans="1:16" x14ac:dyDescent="0.25">
      <c r="A63" s="389" t="str">
        <f>IF(C$6="Met","",IF(OR(B$4="2015-2016",B$4="2014-2015",B$4="2013-2014",B$4="2012-2013"),"","2012-13 Total"))</f>
        <v>2012-13 Total</v>
      </c>
      <c r="B63" s="271">
        <f>IF(A63="","",'21. 12-13 Exc &amp; Adj'!B65)</f>
        <v>0</v>
      </c>
      <c r="C63" s="264"/>
      <c r="E63" s="260" t="str">
        <f>IF(G$6="Met","",IF(OR(F$4="2015-2016",F$4="2014-2015",F$4="2013-2014",F$4="2012-2013"),"","2012-13 Total"))</f>
        <v>2012-13 Total</v>
      </c>
      <c r="F63" s="459">
        <f>IF(E63="","",'21. 12-13 Exc &amp; Adj'!B65)</f>
        <v>0</v>
      </c>
      <c r="G63" s="465"/>
      <c r="I63" s="260" t="str">
        <f>IF(K$6="Met","",IF(OR(J$4="2015-2016",J$4="2014-2015",J$4="2013-2014",J$4="2012-2013"),"","2012-13 Total"))</f>
        <v>2012-13 Total</v>
      </c>
      <c r="J63" s="271">
        <f>IF(I63="","",'21. 12-13 Exc &amp; Adj'!B65)</f>
        <v>0</v>
      </c>
      <c r="K63" s="264"/>
      <c r="L63" s="219"/>
      <c r="M63" s="288" t="str">
        <f>IF(O$6="Met","",IF(OR(N$4="2015-2016",N$4="2014-2015",N$4="2013-2014",N$4="2012-2013"),"","2012-13 Total"))</f>
        <v>2012-13 Total</v>
      </c>
      <c r="N63" s="268">
        <f>IF(M63="","",'21. 12-13 Exc &amp; Adj'!B65)</f>
        <v>0</v>
      </c>
      <c r="O63" s="264"/>
      <c r="P63" s="219"/>
    </row>
    <row r="64" spans="1:16" x14ac:dyDescent="0.25">
      <c r="A64" s="288" t="str">
        <f>IF(C$6="Met","",IF(OR(B$4="2015-2016",B$4="2014-2015",B$4="2013-2014",B$4="2012-2013",B$4="2011-2012"),"","2011-12 Total"))</f>
        <v>2011-12 Total</v>
      </c>
      <c r="B64" s="271">
        <f>IF(A64="","",'20. 11-12 Exc &amp; Adj'!B65)</f>
        <v>0</v>
      </c>
      <c r="C64" s="264"/>
      <c r="E64" s="391" t="str">
        <f>IF(G$6="Met","",IF(OR(F$4="2015-2016",F$4="2014-2015",F$4="2013-2014",F$4="2012-2013",F$4="2011-2012"),"","2011-12 Total"))</f>
        <v>2011-12 Total</v>
      </c>
      <c r="F64" s="459">
        <f>IF(E64="","",'20. 11-12 Exc &amp; Adj'!B65)</f>
        <v>0</v>
      </c>
      <c r="G64" s="465"/>
      <c r="I64" s="391" t="str">
        <f>IF(K$6="Met","",IF(OR(J$4="2015-2016",J$4="2014-2015",J$4="2013-2014",J$4="2012-2013",J$4="2011-2012"),"","2011-12 Total"))</f>
        <v>2011-12 Total</v>
      </c>
      <c r="J64" s="271">
        <f>IF(I64="","",'20. 11-12 Exc &amp; Adj'!B65)</f>
        <v>0</v>
      </c>
      <c r="K64" s="264"/>
      <c r="L64" s="219"/>
      <c r="M64" s="283" t="str">
        <f>IF(O$6="Met","",IF(OR(N$4="2015-2016",N$4="2014-2015",N$4="2013-2014",N$4="2012-2013",N$4="2011-2012"),"","2011-12 Total"))</f>
        <v>2011-12 Total</v>
      </c>
      <c r="N64" s="268">
        <f>IF(M64="","",'20. 11-12 Exc &amp; Adj'!B65)</f>
        <v>0</v>
      </c>
      <c r="O64" s="264"/>
      <c r="P64" s="219"/>
    </row>
    <row r="65" spans="1:16" x14ac:dyDescent="0.25">
      <c r="A65" s="492" t="s">
        <v>219</v>
      </c>
      <c r="B65" s="493"/>
      <c r="C65" s="264"/>
      <c r="E65" s="502" t="s">
        <v>219</v>
      </c>
      <c r="F65" s="503"/>
      <c r="G65" s="264"/>
      <c r="I65" s="488" t="s">
        <v>219</v>
      </c>
      <c r="J65" s="489"/>
      <c r="K65" s="264"/>
      <c r="L65" s="219"/>
      <c r="M65" s="494" t="s">
        <v>219</v>
      </c>
      <c r="N65" s="495"/>
      <c r="O65" s="264"/>
      <c r="P65" s="219"/>
    </row>
    <row r="66" spans="1:16" ht="16.5" thickBot="1" x14ac:dyDescent="0.3">
      <c r="A66" s="274" t="s">
        <v>77</v>
      </c>
      <c r="B66" s="318">
        <f>IF(C6="Met","",SUM(B17:B22,B26:B31,B39:B44,B49:B54,B59:B64))</f>
        <v>0</v>
      </c>
      <c r="C66" s="276"/>
      <c r="E66" s="274" t="s">
        <v>77</v>
      </c>
      <c r="F66" s="318">
        <f>IF(G6="Met","",SUM(F17:F22,F26:F31,F39:F44,F49:F54,F59:F64))</f>
        <v>0</v>
      </c>
      <c r="G66" s="276"/>
      <c r="I66" s="277" t="s">
        <v>101</v>
      </c>
      <c r="J66" s="101">
        <f>IF(K6="Met","",IF('3. Getting Started'!B7="No",SUM(J17:J22,J39:J44,J49:J54,J59:J64),IF('3. Getting Started'!B7="Yes",SUM(J17:J22,J26:J31,J39:J44,J49:J54,J59:J64),0)))</f>
        <v>0</v>
      </c>
      <c r="K66" s="264"/>
      <c r="L66" s="219"/>
      <c r="M66" s="277" t="s">
        <v>101</v>
      </c>
      <c r="N66" s="101">
        <f>IF(O6="Met","",IF('3. Getting Started'!B7="No",SUM(N17:N22,N39:N44,N49:N54,N59:N64),IF('3. Getting Started'!B7="Yes",SUM(N17:N22,N26:N31,N39:N44,N49:N54,N59:N64),0)))</f>
        <v>0</v>
      </c>
      <c r="O66" s="264"/>
      <c r="P66" s="219"/>
    </row>
    <row r="67" spans="1:16" ht="16.5" thickBot="1" x14ac:dyDescent="0.3">
      <c r="A67" s="490" t="s">
        <v>219</v>
      </c>
      <c r="B67" s="490"/>
      <c r="C67" s="490"/>
      <c r="E67" s="219"/>
      <c r="F67" s="217"/>
      <c r="G67" s="217"/>
      <c r="I67" s="274" t="s">
        <v>100</v>
      </c>
      <c r="J67" s="319" t="str">
        <f>IF(J81=0,"",IF(K6="Met","",IF('3. Getting Started'!B7="No",((J66/J81)+SUM(J26:J31)),IF('3. Getting Started'!B7="Yes",(J66/J81)))))</f>
        <v/>
      </c>
      <c r="K67" s="276"/>
      <c r="L67" s="219"/>
      <c r="M67" s="274" t="s">
        <v>100</v>
      </c>
      <c r="N67" s="319" t="str">
        <f>IF(N81=0,"",IF(O6="Met","",IF('3. Getting Started'!B7="No",((N66/N81)+SUM(N26:N31)),IF('3. Getting Started'!B7="Yes",(N66/N81)))))</f>
        <v/>
      </c>
      <c r="O67" s="276"/>
      <c r="P67" s="219"/>
    </row>
    <row r="68" spans="1:16" ht="19.5" thickBot="1" x14ac:dyDescent="0.3">
      <c r="A68" s="278" t="s">
        <v>11</v>
      </c>
      <c r="B68" s="279"/>
      <c r="C68" s="280"/>
      <c r="E68" s="278" t="s">
        <v>11</v>
      </c>
      <c r="F68" s="279"/>
      <c r="G68" s="280"/>
      <c r="I68" s="490" t="s">
        <v>219</v>
      </c>
      <c r="J68" s="490"/>
      <c r="K68" s="490"/>
      <c r="L68" s="219"/>
      <c r="M68" s="490" t="s">
        <v>219</v>
      </c>
      <c r="N68" s="490"/>
      <c r="O68" s="490"/>
      <c r="P68" s="219"/>
    </row>
    <row r="69" spans="1:16" ht="18.75" x14ac:dyDescent="0.25">
      <c r="A69" s="254" t="s">
        <v>74</v>
      </c>
      <c r="B69" s="255" t="s">
        <v>75</v>
      </c>
      <c r="C69" s="282"/>
      <c r="E69" s="254" t="s">
        <v>74</v>
      </c>
      <c r="F69" s="255" t="s">
        <v>75</v>
      </c>
      <c r="G69" s="282"/>
      <c r="I69" s="278" t="s">
        <v>11</v>
      </c>
      <c r="J69" s="279"/>
      <c r="K69" s="280"/>
      <c r="L69" s="219"/>
      <c r="M69" s="278" t="s">
        <v>11</v>
      </c>
      <c r="N69" s="279"/>
      <c r="O69" s="280"/>
      <c r="P69" s="219"/>
    </row>
    <row r="70" spans="1:16" x14ac:dyDescent="0.25">
      <c r="A70" s="267" t="str">
        <f>IF($C$6="Met","","2016-17 Adjustment")</f>
        <v>2016-17 Adjustment</v>
      </c>
      <c r="B70" s="270">
        <f>IF(A70="","",IF($B$1="Eligibility",'10. 16-17 Exc &amp; Adj'!$B$70,IF($B$1="Compliance",'10. 16-17 Exc &amp; Adj'!$I$70)))</f>
        <v>0</v>
      </c>
      <c r="C70" s="284"/>
      <c r="E70" s="267" t="str">
        <f>IF($G$6="Met","","2016-17 Adjustment")</f>
        <v>2016-17 Adjustment</v>
      </c>
      <c r="F70" s="270">
        <f>IF(E70="","",IF($B$1="Eligibility",'10. 16-17 Exc &amp; Adj'!$B$70,IF($B$1="Compliance",'10. 16-17 Exc &amp; Adj'!$I$70)))</f>
        <v>0</v>
      </c>
      <c r="G70" s="284"/>
      <c r="I70" s="254" t="s">
        <v>74</v>
      </c>
      <c r="J70" s="255" t="s">
        <v>75</v>
      </c>
      <c r="K70" s="282"/>
      <c r="L70" s="219"/>
      <c r="M70" s="254" t="s">
        <v>74</v>
      </c>
      <c r="N70" s="255" t="s">
        <v>75</v>
      </c>
      <c r="O70" s="282"/>
      <c r="P70" s="219"/>
    </row>
    <row r="71" spans="1:16" x14ac:dyDescent="0.25">
      <c r="A71" s="257" t="str">
        <f>IF($C$6="Met","",IF(B$4="2015-2016","","2015-16 Adjustment"))</f>
        <v>2015-16 Adjustment</v>
      </c>
      <c r="B71" s="270">
        <f>IF(A71="","",IF($B$1="Eligibility",'7. 15-16 Exc &amp; Adj'!$B$70,IF($B$1="Compliance",'7. 15-16 Exc &amp; Adj'!$I$70)))</f>
        <v>0</v>
      </c>
      <c r="C71" s="284"/>
      <c r="E71" s="257" t="str">
        <f>IF(G$6="Met","",IF(F$4="2015-2016","","2015-16 Adjustment"))</f>
        <v>2015-16 Adjustment</v>
      </c>
      <c r="F71" s="270">
        <f>IF(E71="","",IF($B$1="Eligibility",'7. 15-16 Exc &amp; Adj'!$B$70,IF($B$1="Compliance",'7. 15-16 Exc &amp; Adj'!$I$70)))</f>
        <v>0</v>
      </c>
      <c r="G71" s="284"/>
      <c r="I71" s="267" t="str">
        <f>IF($K$6="Met","","2016-17 Adjustment")</f>
        <v>2016-17 Adjustment</v>
      </c>
      <c r="J71" s="270">
        <f>IF(I71="","",IF($B$1="Eligibility",'10. 16-17 Exc &amp; Adj'!$B$70,IF($B$1="Compliance",'10. 16-17 Exc &amp; Adj'!$I$70)))</f>
        <v>0</v>
      </c>
      <c r="K71" s="284"/>
      <c r="L71" s="219"/>
      <c r="M71" s="267" t="str">
        <f>IF($O$6="Met","","2016-17 Adjustment")</f>
        <v>2016-17 Adjustment</v>
      </c>
      <c r="N71" s="270">
        <f>IF(M71="","",IF($B$1="Eligibility",'10. 16-17 Exc &amp; Adj'!$B$70,IF($B$1="Compliance",'10. 16-17 Exc &amp; Adj'!$I$70)))</f>
        <v>0</v>
      </c>
      <c r="O71" s="284"/>
      <c r="P71" s="219"/>
    </row>
    <row r="72" spans="1:16" x14ac:dyDescent="0.25">
      <c r="A72" s="257" t="str">
        <f>IF(C$6="Met","",IF(OR(B$4="2015-2016",B$4="2014-2015"),"","2014-15 Adjustment"))</f>
        <v>2014-15 Adjustment</v>
      </c>
      <c r="B72" s="270">
        <f>IF(A72="","",'23. 14-15 Exc &amp; Adj'!B69)</f>
        <v>0</v>
      </c>
      <c r="C72" s="284"/>
      <c r="E72" s="257" t="str">
        <f>IF(G$6="Met","",IF(OR(F$4="2015-2016",F$4="2014-2015"),"","2014-15 Adjustment"))</f>
        <v>2014-15 Adjustment</v>
      </c>
      <c r="F72" s="270">
        <f>IF(E72="","",'23. 14-15 Exc &amp; Adj'!B69)</f>
        <v>0</v>
      </c>
      <c r="G72" s="284"/>
      <c r="I72" s="257" t="str">
        <f>IF(K$6="Met","",IF(J$4="2015-2016","","2015-16 Adjustment"))</f>
        <v>2015-16 Adjustment</v>
      </c>
      <c r="J72" s="270">
        <f>IF(I72="","",IF($B$1="Eligibility",'7. 15-16 Exc &amp; Adj'!$B$70,IF($B$1="Compliance",'7. 15-16 Exc &amp; Adj'!$I$70)))</f>
        <v>0</v>
      </c>
      <c r="K72" s="284"/>
      <c r="L72" s="219"/>
      <c r="M72" s="257" t="str">
        <f>IF(O$6="Met","",IF(N$4="2015-2016","","2015-16 Adjustment"))</f>
        <v>2015-16 Adjustment</v>
      </c>
      <c r="N72" s="270">
        <f>IF(M72="","",IF($B$1="Eligibility",'7. 15-16 Exc &amp; Adj'!$B$70,IF($B$1="Compliance",'7. 15-16 Exc &amp; Adj'!$I$70)))</f>
        <v>0</v>
      </c>
      <c r="O72" s="284"/>
    </row>
    <row r="73" spans="1:16" x14ac:dyDescent="0.25">
      <c r="A73" s="259" t="str">
        <f>IF(C$6="Met","",IF(OR(B$4="2015-2016",B$4="2014-2015",B$4="2013-2014"),"","2013-14 Adjustment"))</f>
        <v>2013-14 Adjustment</v>
      </c>
      <c r="B73" s="270">
        <f>IF(A73="","",'22. 13-14 Exc &amp; Adj'!B69)</f>
        <v>0</v>
      </c>
      <c r="C73" s="284"/>
      <c r="E73" s="259" t="str">
        <f>IF(G$6="Met","",IF(OR(F$4="2015-2016",F$4="2014-2015",F$4="2013-2014"),"","2013-14 Adjustment"))</f>
        <v>2013-14 Adjustment</v>
      </c>
      <c r="F73" s="270">
        <f>IF(E73="","",'22. 13-14 Exc &amp; Adj'!B69)</f>
        <v>0</v>
      </c>
      <c r="G73" s="284"/>
      <c r="I73" s="257" t="str">
        <f>IF(K$6="Met","",IF(OR(J$4="2015-2016",J$4="2014-2015"),"","2014-15 Adjustment"))</f>
        <v>2014-15 Adjustment</v>
      </c>
      <c r="J73" s="270">
        <f>IF(I73="","",'23. 14-15 Exc &amp; Adj'!B69)</f>
        <v>0</v>
      </c>
      <c r="K73" s="284"/>
      <c r="L73" s="219"/>
      <c r="M73" s="257" t="str">
        <f>IF(O$6="Met","",IF(OR(N$4="2015-2016",N$4="2014-2015"),"","2014-15 Adjustment"))</f>
        <v>2014-15 Adjustment</v>
      </c>
      <c r="N73" s="270">
        <f>IF(M73="","",'23. 14-15 Exc &amp; Adj'!B69)</f>
        <v>0</v>
      </c>
      <c r="O73" s="284"/>
    </row>
    <row r="74" spans="1:16" x14ac:dyDescent="0.25">
      <c r="A74" s="260" t="str">
        <f>IF(C$6="Met","",IF(OR(B$4="2015-2016",B$4="2014-2015",B$4="2013-2014",B$4="2012-2013"),"","2012-13 Adjustment"))</f>
        <v>2012-13 Adjustment</v>
      </c>
      <c r="B74" s="271">
        <f>IF(A74="","",'21. 12-13 Exc &amp; Adj'!B69)</f>
        <v>0</v>
      </c>
      <c r="C74" s="284"/>
      <c r="E74" s="260" t="str">
        <f>IF(G$6="Met","",IF(OR(F$4="2015-2016",F$4="2014-2015",F$4="2013-2014",F$4="2012-2013"),"","2012-13 Adjustment"))</f>
        <v>2012-13 Adjustment</v>
      </c>
      <c r="F74" s="271">
        <f>IF(E74="","",'21. 12-13 Exc &amp; Adj'!B69)</f>
        <v>0</v>
      </c>
      <c r="G74" s="284"/>
      <c r="I74" s="259" t="str">
        <f>IF(K$6="Met","",IF(OR(J$4="2015-2016",J$4="2014-2015",J$4="2013-2014"),"","2013-14 Adjustment"))</f>
        <v>2013-14 Adjustment</v>
      </c>
      <c r="J74" s="270">
        <f>IF(I74="","",'22. 13-14 Exc &amp; Adj'!B69)</f>
        <v>0</v>
      </c>
      <c r="K74" s="284"/>
      <c r="M74" s="259" t="str">
        <f>IF(O$6="Met","",IF(OR(N$4="2015-2016",N$4="2014-2015",N$4="2013-2014"),"","2013-14 Adjustment"))</f>
        <v>2013-14 Adjustment</v>
      </c>
      <c r="N74" s="270">
        <f>IF(M74="","",'22. 13-14 Exc &amp; Adj'!B69)</f>
        <v>0</v>
      </c>
      <c r="O74" s="284"/>
    </row>
    <row r="75" spans="1:16" x14ac:dyDescent="0.25">
      <c r="A75" s="260" t="str">
        <f>IF(C$6="Met","",IF(OR(B$4="2015-2016",B$4="2014-2015",B$4="2013-2014",B$4="2012-2013",B$4="2011-2012"),"","2011-12 Adjustment"))</f>
        <v>2011-12 Adjustment</v>
      </c>
      <c r="B75" s="271">
        <f>IF(A75="","",'20. 11-12 Exc &amp; Adj'!B69)</f>
        <v>0</v>
      </c>
      <c r="C75" s="284"/>
      <c r="E75" s="391" t="str">
        <f>IF(G$6="Met","",IF(OR(F$4="2015-2016",F$4="2014-2015",F$4="2013-2014",F$4="2012-2013",F$4="2011-2012"),"","2011-12 Adjustment"))</f>
        <v>2011-12 Adjustment</v>
      </c>
      <c r="F75" s="271">
        <f>IF(E75="","",'20. 11-12 Exc &amp; Adj'!B69)</f>
        <v>0</v>
      </c>
      <c r="G75" s="284"/>
      <c r="I75" s="260" t="str">
        <f>IF(K$6="Met","",IF(OR(J$4="2015-2016",J$4="2014-2015",J$4="2013-2014",J$4="2012-2013"),"","2012-13 Adjustment"))</f>
        <v>2012-13 Adjustment</v>
      </c>
      <c r="J75" s="271">
        <f>IF(I75="","",'21. 12-13 Exc &amp; Adj'!B69)</f>
        <v>0</v>
      </c>
      <c r="K75" s="284"/>
      <c r="M75" s="260" t="str">
        <f>IF(O$6="Met","",IF(OR(N$4="2015-2016",N$4="2014-2015",N$4="2013-2014",N$4="2012-2013"),"","2012-13 Adjustment"))</f>
        <v>2012-13 Adjustment</v>
      </c>
      <c r="N75" s="271">
        <f>IF(M75="","",'21. 12-13 Exc &amp; Adj'!B69)</f>
        <v>0</v>
      </c>
      <c r="O75" s="284"/>
    </row>
    <row r="76" spans="1:16" x14ac:dyDescent="0.25">
      <c r="A76" s="488" t="s">
        <v>219</v>
      </c>
      <c r="B76" s="489"/>
      <c r="C76" s="284"/>
      <c r="E76" s="488" t="s">
        <v>219</v>
      </c>
      <c r="F76" s="489"/>
      <c r="G76" s="284"/>
      <c r="I76" s="391" t="str">
        <f>IF(K$6="Met","",IF(OR(J$4="2015-2016",J$4="2014-2015",J$4="2013-2014",J$4="2012-2013",J$4="2011-2012"),"","2011-12 Adjustment"))</f>
        <v>2011-12 Adjustment</v>
      </c>
      <c r="J76" s="271">
        <f>IF(I76="","",'20. 11-12 Exc &amp; Adj'!B69)</f>
        <v>0</v>
      </c>
      <c r="K76" s="284"/>
      <c r="M76" s="391" t="str">
        <f>IF(O$6="Met","",IF(OR(N$4="2015-2016",N$4="2014-2015",N$4="2013-2014",N$4="2012-2013",N$4="2011-2012"),"","2011-12 Adjustment"))</f>
        <v>2011-12 Adjustment</v>
      </c>
      <c r="N76" s="271">
        <f>IF(M76="","",'20. 11-12 Exc &amp; Adj'!B69)</f>
        <v>0</v>
      </c>
      <c r="O76" s="284"/>
    </row>
    <row r="77" spans="1:16" ht="16.5" thickBot="1" x14ac:dyDescent="0.3">
      <c r="A77" s="274" t="s">
        <v>78</v>
      </c>
      <c r="B77" s="318">
        <f>SUM(B70:B75)</f>
        <v>0</v>
      </c>
      <c r="C77" s="285"/>
      <c r="E77" s="274" t="s">
        <v>78</v>
      </c>
      <c r="F77" s="318">
        <f>SUM(F70:F75)</f>
        <v>0</v>
      </c>
      <c r="G77" s="285"/>
      <c r="I77" s="488" t="s">
        <v>219</v>
      </c>
      <c r="J77" s="489"/>
      <c r="K77" s="284"/>
      <c r="M77" s="488" t="s">
        <v>219</v>
      </c>
      <c r="N77" s="489"/>
      <c r="O77" s="284"/>
    </row>
    <row r="78" spans="1:16" x14ac:dyDescent="0.25">
      <c r="I78" s="277" t="s">
        <v>102</v>
      </c>
      <c r="J78" s="101">
        <f>SUM(J71:J76)</f>
        <v>0</v>
      </c>
      <c r="K78" s="284"/>
      <c r="M78" s="277" t="s">
        <v>102</v>
      </c>
      <c r="N78" s="101">
        <f>SUM(N71:N76)</f>
        <v>0</v>
      </c>
      <c r="O78" s="284"/>
    </row>
    <row r="79" spans="1:16" ht="16.5" thickBot="1" x14ac:dyDescent="0.3">
      <c r="A79" s="428" t="s">
        <v>258</v>
      </c>
      <c r="I79" s="274" t="s">
        <v>103</v>
      </c>
      <c r="J79" s="275" t="str">
        <f>IF(J81=0,"",J78/J81)</f>
        <v/>
      </c>
      <c r="K79" s="285"/>
      <c r="M79" s="274" t="s">
        <v>103</v>
      </c>
      <c r="N79" s="275" t="str">
        <f>IF(N81=0,"",N78/N81)</f>
        <v/>
      </c>
      <c r="O79" s="285"/>
    </row>
    <row r="80" spans="1:16" x14ac:dyDescent="0.25">
      <c r="A80" s="427" t="s">
        <v>252</v>
      </c>
      <c r="I80" s="496" t="s">
        <v>219</v>
      </c>
      <c r="J80" s="496"/>
      <c r="K80" s="496"/>
      <c r="M80" s="496" t="s">
        <v>219</v>
      </c>
      <c r="N80" s="496"/>
      <c r="O80" s="496"/>
    </row>
    <row r="81" spans="1:15" x14ac:dyDescent="0.25">
      <c r="I81" s="286" t="s">
        <v>99</v>
      </c>
      <c r="J81" s="287">
        <f>LOOKUP(J4,'4. Multi-Year MOE Summary'!$A$3:$A$12,'4. Multi-Year MOE Summary'!$C$3:$C$12)</f>
        <v>0</v>
      </c>
      <c r="M81" s="286" t="s">
        <v>99</v>
      </c>
      <c r="N81" s="287">
        <f>LOOKUP(N4,'4. Multi-Year MOE Summary'!$A$3:$A$12,'4. Multi-Year MOE Summary'!$C$3:$C$12)</f>
        <v>0</v>
      </c>
    </row>
    <row r="82" spans="1:15" x14ac:dyDescent="0.25">
      <c r="A82" s="497" t="s">
        <v>221</v>
      </c>
      <c r="B82" s="497"/>
      <c r="C82" s="497"/>
      <c r="D82" s="497"/>
      <c r="E82" s="497"/>
      <c r="F82" s="497"/>
      <c r="G82" s="497"/>
      <c r="H82" s="497"/>
      <c r="I82" s="497"/>
      <c r="J82" s="497"/>
      <c r="K82" s="497"/>
      <c r="L82" s="497"/>
      <c r="M82" s="497"/>
      <c r="N82" s="497"/>
      <c r="O82" s="497"/>
    </row>
  </sheetData>
  <sheetProtection algorithmName="SHA-512" hashValue="b1OYKjqoWtSurLKF3wk8K1mntvzDx6mR1QV4DVQ5AJgrngJ2rxCVNgzBvkq2wLTR618JWjYLjxa6IEP2Vq07QA==" saltValue="MFb5ZDwCBbGcM7MQt3dXoA==" spinCount="100000" sheet="1" objects="1" scenarios="1" formatColumns="0" formatRows="0"/>
  <mergeCells count="34">
    <mergeCell ref="M77:N77"/>
    <mergeCell ref="M80:O80"/>
    <mergeCell ref="A82:O82"/>
    <mergeCell ref="I68:K68"/>
    <mergeCell ref="I77:J77"/>
    <mergeCell ref="I80:K80"/>
    <mergeCell ref="M65:N65"/>
    <mergeCell ref="M68:O68"/>
    <mergeCell ref="I12:K12"/>
    <mergeCell ref="I23:J23"/>
    <mergeCell ref="I32:J32"/>
    <mergeCell ref="I45:J45"/>
    <mergeCell ref="I55:J55"/>
    <mergeCell ref="I65:J65"/>
    <mergeCell ref="M12:O12"/>
    <mergeCell ref="M23:N23"/>
    <mergeCell ref="M32:N32"/>
    <mergeCell ref="M45:N45"/>
    <mergeCell ref="M55:N55"/>
    <mergeCell ref="A67:C67"/>
    <mergeCell ref="A76:B76"/>
    <mergeCell ref="E12:G12"/>
    <mergeCell ref="E23:F23"/>
    <mergeCell ref="E32:F32"/>
    <mergeCell ref="E45:F45"/>
    <mergeCell ref="E55:F55"/>
    <mergeCell ref="E65:F65"/>
    <mergeCell ref="E76:F76"/>
    <mergeCell ref="A12:C12"/>
    <mergeCell ref="A23:B23"/>
    <mergeCell ref="A32:B32"/>
    <mergeCell ref="A45:B45"/>
    <mergeCell ref="A55:B55"/>
    <mergeCell ref="A65:B65"/>
  </mergeCells>
  <conditionalFormatting sqref="A39:B44">
    <cfRule type="containsBlanks" dxfId="1916" priority="722">
      <formula>LEN(TRIM(A39))=0</formula>
    </cfRule>
  </conditionalFormatting>
  <conditionalFormatting sqref="A49:B54">
    <cfRule type="containsBlanks" dxfId="1915" priority="721">
      <formula>LEN(TRIM(A49))=0</formula>
    </cfRule>
  </conditionalFormatting>
  <conditionalFormatting sqref="A17:B22">
    <cfRule type="containsBlanks" dxfId="1914" priority="451">
      <formula>LEN(TRIM(A17))=0</formula>
    </cfRule>
  </conditionalFormatting>
  <conditionalFormatting sqref="A26:B31">
    <cfRule type="containsBlanks" dxfId="1913" priority="191">
      <formula>LEN(TRIM(A26))=0</formula>
    </cfRule>
  </conditionalFormatting>
  <conditionalFormatting sqref="I39:J44">
    <cfRule type="containsBlanks" dxfId="1912" priority="121">
      <formula>LEN(TRIM(I39))=0</formula>
    </cfRule>
  </conditionalFormatting>
  <conditionalFormatting sqref="I71:J76">
    <cfRule type="containsBlanks" dxfId="1911" priority="129">
      <formula>LEN(TRIM(I71))=0</formula>
    </cfRule>
  </conditionalFormatting>
  <conditionalFormatting sqref="M71:N76">
    <cfRule type="containsBlanks" dxfId="1910" priority="127">
      <formula>LEN(TRIM(M71))=0</formula>
    </cfRule>
  </conditionalFormatting>
  <conditionalFormatting sqref="I49:J54">
    <cfRule type="containsBlanks" dxfId="1909" priority="123">
      <formula>LEN(TRIM(I49))=0</formula>
    </cfRule>
  </conditionalFormatting>
  <conditionalFormatting sqref="I17:J22">
    <cfRule type="containsBlanks" dxfId="1908" priority="117">
      <formula>LEN(TRIM(I17))=0</formula>
    </cfRule>
  </conditionalFormatting>
  <conditionalFormatting sqref="M17:N22">
    <cfRule type="containsBlanks" dxfId="1907" priority="115">
      <formula>LEN(TRIM(M17))=0</formula>
    </cfRule>
  </conditionalFormatting>
  <conditionalFormatting sqref="M39:N44">
    <cfRule type="containsBlanks" dxfId="1906" priority="111">
      <formula>LEN(TRIM(M39))=0</formula>
    </cfRule>
  </conditionalFormatting>
  <conditionalFormatting sqref="M49:N54">
    <cfRule type="containsBlanks" dxfId="1905" priority="109">
      <formula>LEN(TRIM(M49))=0</formula>
    </cfRule>
  </conditionalFormatting>
  <conditionalFormatting sqref="I59:J64">
    <cfRule type="containsBlanks" dxfId="1904" priority="81">
      <formula>LEN(TRIM(I59))=0</formula>
    </cfRule>
  </conditionalFormatting>
  <conditionalFormatting sqref="M59:N64">
    <cfRule type="containsBlanks" dxfId="1903" priority="52">
      <formula>LEN(TRIM(M59))=0</formula>
    </cfRule>
  </conditionalFormatting>
  <conditionalFormatting sqref="M26:N31">
    <cfRule type="containsBlanks" dxfId="1902" priority="25">
      <formula>LEN(TRIM(M26))=0</formula>
    </cfRule>
  </conditionalFormatting>
  <conditionalFormatting sqref="A59:B64">
    <cfRule type="containsBlanks" dxfId="1901" priority="18">
      <formula>LEN(TRIM(A59))=0</formula>
    </cfRule>
  </conditionalFormatting>
  <conditionalFormatting sqref="A70:B75">
    <cfRule type="containsBlanks" dxfId="1900" priority="15">
      <formula>LEN(TRIM(A70))=0</formula>
    </cfRule>
  </conditionalFormatting>
  <conditionalFormatting sqref="E17:F22">
    <cfRule type="containsBlanks" dxfId="1899" priority="12">
      <formula>LEN(TRIM(E17))=0</formula>
    </cfRule>
  </conditionalFormatting>
  <conditionalFormatting sqref="E26:F31">
    <cfRule type="containsBlanks" dxfId="1898" priority="11">
      <formula>LEN(TRIM(E26))=0</formula>
    </cfRule>
  </conditionalFormatting>
  <conditionalFormatting sqref="E39:F44">
    <cfRule type="containsBlanks" dxfId="1897" priority="10">
      <formula>LEN(TRIM(E39))=0</formula>
    </cfRule>
  </conditionalFormatting>
  <conditionalFormatting sqref="E49:F54">
    <cfRule type="containsBlanks" dxfId="1896" priority="9">
      <formula>LEN(TRIM(E49))=0</formula>
    </cfRule>
  </conditionalFormatting>
  <conditionalFormatting sqref="E59:F64">
    <cfRule type="containsBlanks" dxfId="1895" priority="8">
      <formula>LEN(TRIM(E59))=0</formula>
    </cfRule>
  </conditionalFormatting>
  <conditionalFormatting sqref="E70:F75">
    <cfRule type="containsBlanks" dxfId="1894" priority="5">
      <formula>LEN(TRIM(E70))=0</formula>
    </cfRule>
  </conditionalFormatting>
  <conditionalFormatting sqref="I26:J31">
    <cfRule type="containsBlanks" dxfId="1893" priority="4">
      <formula>LEN(TRIM(I26))=0</formula>
    </cfRule>
  </conditionalFormatting>
  <conditionalFormatting sqref="C6 C9 C11">
    <cfRule type="containsText" dxfId="1892" priority="631" operator="containsText" text="Did Not Meet">
      <formula>NOT(ISERROR(SEARCH("Did Not Meet",C6)))</formula>
    </cfRule>
    <cfRule type="containsText" dxfId="1891" priority="632" operator="containsText" text="Met">
      <formula>NOT(ISERROR(SEARCH("Met",C6)))</formula>
    </cfRule>
  </conditionalFormatting>
  <conditionalFormatting sqref="G6 G9 G11">
    <cfRule type="containsText" dxfId="1890" priority="325" operator="containsText" text="Did Not Meet">
      <formula>NOT(ISERROR(SEARCH("Did Not Meet",G6)))</formula>
    </cfRule>
    <cfRule type="containsText" dxfId="1889" priority="326" operator="containsText" text="Met">
      <formula>NOT(ISERROR(SEARCH("Met",G6)))</formula>
    </cfRule>
  </conditionalFormatting>
  <conditionalFormatting sqref="K6 K9 K11">
    <cfRule type="containsText" dxfId="1888" priority="105" operator="containsText" text="Did Not Meet">
      <formula>NOT(ISERROR(SEARCH("Did Not Meet",K6)))</formula>
    </cfRule>
    <cfRule type="containsText" dxfId="1887" priority="106" operator="containsText" text="Met">
      <formula>NOT(ISERROR(SEARCH("Met",K6)))</formula>
    </cfRule>
  </conditionalFormatting>
  <conditionalFormatting sqref="O6 O9 O11">
    <cfRule type="containsText" dxfId="1886" priority="103" operator="containsText" text="Did Not Meet">
      <formula>NOT(ISERROR(SEARCH("Did Not Meet",O6)))</formula>
    </cfRule>
    <cfRule type="containsText" dxfId="1885" priority="104" operator="containsText" text="Met">
      <formula>NOT(ISERROR(SEARCH("Met",O6)))</formula>
    </cfRule>
  </conditionalFormatting>
  <hyperlinks>
    <hyperlink ref="A80" r:id="rId1" display="http://cifr.wested.org/resources/lea-moe/calculator/"/>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145" id="{C10D7EB7-1D83-4AE9-A42E-3B360FE22CAC}">
            <xm:f>'3. Getting Started'!$B$9="No"</xm:f>
            <x14:dxf>
              <fill>
                <patternFill>
                  <bgColor theme="1"/>
                </patternFill>
              </fill>
            </x14:dxf>
          </x14:cfRule>
          <xm:sqref>A64:B64</xm:sqref>
        </x14:conditionalFormatting>
        <x14:conditionalFormatting xmlns:xm="http://schemas.microsoft.com/office/excel/2006/main">
          <x14:cfRule type="expression" priority="102" id="{6FE2EBCB-41E9-4AA9-AAB5-4F3D98958925}">
            <xm:f>'3. Getting Started'!$B$14="No"</xm:f>
            <x14:dxf>
              <fill>
                <patternFill>
                  <bgColor theme="1"/>
                </patternFill>
              </fill>
            </x14:dxf>
          </x14:cfRule>
          <xm:sqref>A59:B59</xm:sqref>
        </x14:conditionalFormatting>
        <x14:conditionalFormatting xmlns:xm="http://schemas.microsoft.com/office/excel/2006/main">
          <x14:cfRule type="expression" priority="101" id="{874885E9-D77C-408F-B27C-86E3E7AF4A22}">
            <xm:f>'3. Getting Started'!$B$13="No"</xm:f>
            <x14:dxf>
              <fill>
                <patternFill>
                  <bgColor theme="1"/>
                </patternFill>
              </fill>
            </x14:dxf>
          </x14:cfRule>
          <xm:sqref>A60:B60</xm:sqref>
        </x14:conditionalFormatting>
        <x14:conditionalFormatting xmlns:xm="http://schemas.microsoft.com/office/excel/2006/main">
          <x14:cfRule type="expression" priority="100" id="{EFCDF762-6F4D-4259-A762-2D44D357DD23}">
            <xm:f>'3. Getting Started'!$B$12="No"</xm:f>
            <x14:dxf>
              <fill>
                <patternFill>
                  <bgColor theme="1"/>
                </patternFill>
              </fill>
            </x14:dxf>
          </x14:cfRule>
          <xm:sqref>A61:B61</xm:sqref>
        </x14:conditionalFormatting>
        <x14:conditionalFormatting xmlns:xm="http://schemas.microsoft.com/office/excel/2006/main">
          <x14:cfRule type="expression" priority="99" id="{07D4244F-8F56-4CFE-9E8A-AC1C355998A2}">
            <xm:f>'3. Getting Started'!$B$11="No"</xm:f>
            <x14:dxf>
              <fill>
                <patternFill>
                  <bgColor theme="1"/>
                </patternFill>
              </fill>
            </x14:dxf>
          </x14:cfRule>
          <xm:sqref>A62:B62</xm:sqref>
        </x14:conditionalFormatting>
        <x14:conditionalFormatting xmlns:xm="http://schemas.microsoft.com/office/excel/2006/main">
          <x14:cfRule type="expression" priority="97" id="{9CF36010-AEF6-44F2-9036-F36EF2296B0B}">
            <xm:f>'3. Getting Started'!$B$11="No"</xm:f>
            <x14:dxf>
              <fill>
                <patternFill>
                  <bgColor theme="1"/>
                </patternFill>
              </fill>
            </x14:dxf>
          </x14:cfRule>
          <xm:sqref>E62:F62</xm:sqref>
        </x14:conditionalFormatting>
        <x14:conditionalFormatting xmlns:xm="http://schemas.microsoft.com/office/excel/2006/main">
          <x14:cfRule type="expression" priority="96" id="{DD45DB2C-001B-45B3-A3CE-26E0EA3E96F5}">
            <xm:f>'3. Getting Started'!$B$12="No"</xm:f>
            <x14:dxf>
              <fill>
                <patternFill>
                  <bgColor theme="1"/>
                </patternFill>
              </fill>
            </x14:dxf>
          </x14:cfRule>
          <xm:sqref>E61:F61</xm:sqref>
        </x14:conditionalFormatting>
        <x14:conditionalFormatting xmlns:xm="http://schemas.microsoft.com/office/excel/2006/main">
          <x14:cfRule type="expression" priority="95" id="{30766E01-457F-4099-B94B-5ADFAEEAC931}">
            <xm:f>'3. Getting Started'!$B$13="No"</xm:f>
            <x14:dxf>
              <fill>
                <patternFill>
                  <bgColor theme="1"/>
                </patternFill>
              </fill>
            </x14:dxf>
          </x14:cfRule>
          <xm:sqref>E60:F60</xm:sqref>
        </x14:conditionalFormatting>
        <x14:conditionalFormatting xmlns:xm="http://schemas.microsoft.com/office/excel/2006/main">
          <x14:cfRule type="expression" priority="94" id="{B9353C19-0A74-45DA-B122-395EF52FA9A5}">
            <xm:f>'3. Getting Started'!$B$14="No"</xm:f>
            <x14:dxf>
              <fill>
                <patternFill>
                  <bgColor theme="1"/>
                </patternFill>
              </fill>
            </x14:dxf>
          </x14:cfRule>
          <xm:sqref>E59:F59</xm:sqref>
        </x14:conditionalFormatting>
        <x14:conditionalFormatting xmlns:xm="http://schemas.microsoft.com/office/excel/2006/main">
          <x14:cfRule type="expression" priority="83" id="{3DBC732A-C7CE-4422-B137-668EB52E213E}">
            <xm:f>'3. Getting Started'!$B$10="No"</xm:f>
            <x14:dxf>
              <fill>
                <patternFill>
                  <bgColor theme="1"/>
                </patternFill>
              </fill>
            </x14:dxf>
          </x14:cfRule>
          <xm:sqref>I63:J63</xm:sqref>
        </x14:conditionalFormatting>
        <x14:conditionalFormatting xmlns:xm="http://schemas.microsoft.com/office/excel/2006/main">
          <x14:cfRule type="expression" priority="80" id="{172A9651-6575-4DD5-8EF7-B4C614E4A9B4}">
            <xm:f>'3. Getting Started'!$B$11="No"</xm:f>
            <x14:dxf>
              <fill>
                <patternFill>
                  <bgColor theme="1"/>
                </patternFill>
              </fill>
            </x14:dxf>
          </x14:cfRule>
          <xm:sqref>I62:J62</xm:sqref>
        </x14:conditionalFormatting>
        <x14:conditionalFormatting xmlns:xm="http://schemas.microsoft.com/office/excel/2006/main">
          <x14:cfRule type="expression" priority="79" id="{5E79C0D1-159F-4D53-8225-D4D4A1072F7C}">
            <xm:f>'3. Getting Started'!$B$12="No"</xm:f>
            <x14:dxf>
              <fill>
                <patternFill>
                  <bgColor theme="1"/>
                </patternFill>
              </fill>
            </x14:dxf>
          </x14:cfRule>
          <xm:sqref>I61:J61</xm:sqref>
        </x14:conditionalFormatting>
        <x14:conditionalFormatting xmlns:xm="http://schemas.microsoft.com/office/excel/2006/main">
          <x14:cfRule type="expression" priority="78" id="{117E5483-B92E-4CA0-82FC-720F83D0F39A}">
            <xm:f>'3. Getting Started'!$B$13="No"</xm:f>
            <x14:dxf>
              <fill>
                <patternFill>
                  <bgColor theme="1"/>
                </patternFill>
              </fill>
            </x14:dxf>
          </x14:cfRule>
          <xm:sqref>I60:J60</xm:sqref>
        </x14:conditionalFormatting>
        <x14:conditionalFormatting xmlns:xm="http://schemas.microsoft.com/office/excel/2006/main">
          <x14:cfRule type="expression" priority="77" id="{51E060A5-611E-4A63-B43D-7029F81700C9}">
            <xm:f>'3. Getting Started'!$B$14="No"</xm:f>
            <x14:dxf>
              <fill>
                <patternFill>
                  <bgColor theme="1"/>
                </patternFill>
              </fill>
            </x14:dxf>
          </x14:cfRule>
          <xm:sqref>I59:J59</xm:sqref>
        </x14:conditionalFormatting>
        <x14:conditionalFormatting xmlns:xm="http://schemas.microsoft.com/office/excel/2006/main">
          <x14:cfRule type="expression" priority="51" id="{E3F37C3A-28D5-405E-B03C-4B5D4AF50380}">
            <xm:f>'3. Getting Started'!$B$10="No"</xm:f>
            <x14:dxf>
              <fill>
                <patternFill>
                  <bgColor theme="1"/>
                </patternFill>
              </fill>
            </x14:dxf>
          </x14:cfRule>
          <xm:sqref>M63:N63</xm:sqref>
        </x14:conditionalFormatting>
        <x14:conditionalFormatting xmlns:xm="http://schemas.microsoft.com/office/excel/2006/main">
          <x14:cfRule type="expression" priority="50" id="{F493571B-8BC9-4C57-AB20-41649CBEDDF3}">
            <xm:f>'3. Getting Started'!$B$11="No"</xm:f>
            <x14:dxf>
              <fill>
                <patternFill>
                  <bgColor theme="1"/>
                </patternFill>
              </fill>
            </x14:dxf>
          </x14:cfRule>
          <xm:sqref>M62:N62</xm:sqref>
        </x14:conditionalFormatting>
        <x14:conditionalFormatting xmlns:xm="http://schemas.microsoft.com/office/excel/2006/main">
          <x14:cfRule type="expression" priority="49" id="{89A7648E-1157-4FE7-96EA-D3C4C89E9283}">
            <xm:f>'3. Getting Started'!$B$12="No"</xm:f>
            <x14:dxf>
              <fill>
                <patternFill>
                  <bgColor theme="1"/>
                </patternFill>
              </fill>
            </x14:dxf>
          </x14:cfRule>
          <xm:sqref>M61:N61</xm:sqref>
        </x14:conditionalFormatting>
        <x14:conditionalFormatting xmlns:xm="http://schemas.microsoft.com/office/excel/2006/main">
          <x14:cfRule type="expression" priority="48" id="{308BE13C-2728-44F4-8751-0205F883F199}">
            <xm:f>'3. Getting Started'!$B$13="No"</xm:f>
            <x14:dxf>
              <fill>
                <patternFill>
                  <bgColor theme="1"/>
                </patternFill>
              </fill>
            </x14:dxf>
          </x14:cfRule>
          <xm:sqref>M60:N60</xm:sqref>
        </x14:conditionalFormatting>
        <x14:conditionalFormatting xmlns:xm="http://schemas.microsoft.com/office/excel/2006/main">
          <x14:cfRule type="expression" priority="47" id="{8BAA732B-7431-43BF-842E-2F844517B4B6}">
            <xm:f>'3. Getting Started'!$B$14="No"</xm:f>
            <x14:dxf>
              <fill>
                <patternFill>
                  <bgColor theme="1"/>
                </patternFill>
              </fill>
            </x14:dxf>
          </x14:cfRule>
          <xm:sqref>M59:N59</xm:sqref>
        </x14:conditionalFormatting>
        <x14:conditionalFormatting xmlns:xm="http://schemas.microsoft.com/office/excel/2006/main">
          <x14:cfRule type="expression" priority="14" id="{E3D0AD0A-22E5-4D38-A530-1B80E3E7BD8E}">
            <xm:f>'3. Getting Started'!$B$6="No"</xm:f>
            <x14:dxf>
              <font>
                <color theme="1"/>
              </font>
              <fill>
                <patternFill>
                  <bgColor theme="1"/>
                </patternFill>
              </fill>
            </x14:dxf>
          </x14:cfRule>
          <xm:sqref>A3:C77</xm:sqref>
        </x14:conditionalFormatting>
        <x14:conditionalFormatting xmlns:xm="http://schemas.microsoft.com/office/excel/2006/main">
          <x14:cfRule type="expression" priority="13" id="{A4EE6F6C-CB97-4206-BD5E-FFB04CC6C681}">
            <xm:f>'3. Getting Started'!$B$10="No"</xm:f>
            <x14:dxf>
              <fill>
                <patternFill>
                  <bgColor theme="1"/>
                </patternFill>
              </fill>
            </x14:dxf>
          </x14:cfRule>
          <xm:sqref>A63:B63</xm:sqref>
        </x14:conditionalFormatting>
        <x14:conditionalFormatting xmlns:xm="http://schemas.microsoft.com/office/excel/2006/main">
          <x14:cfRule type="expression" priority="7" id="{EDAF1F35-ECEF-4F5B-9024-ED39108B11AC}">
            <xm:f>'3. Getting Started'!$B$10="No"</xm:f>
            <x14:dxf>
              <fill>
                <patternFill>
                  <bgColor theme="1"/>
                </patternFill>
              </fill>
            </x14:dxf>
          </x14:cfRule>
          <xm:sqref>E63:F63</xm:sqref>
        </x14:conditionalFormatting>
        <x14:conditionalFormatting xmlns:xm="http://schemas.microsoft.com/office/excel/2006/main">
          <x14:cfRule type="expression" priority="6" id="{B04BB4AA-6B26-45EE-865D-1E3FA8E0A75E}">
            <xm:f>'3. Getting Started'!$B$9="No"</xm:f>
            <x14:dxf>
              <fill>
                <patternFill>
                  <bgColor theme="1"/>
                </patternFill>
              </fill>
            </x14:dxf>
          </x14:cfRule>
          <xm:sqref>E64:F64</xm:sqref>
        </x14:conditionalFormatting>
        <x14:conditionalFormatting xmlns:xm="http://schemas.microsoft.com/office/excel/2006/main">
          <x14:cfRule type="expression" priority="3" id="{A3277036-F99B-4817-AE61-F4F012061883}">
            <xm:f>'3. Getting Started'!$B$9="No"</xm:f>
            <x14:dxf>
              <fill>
                <patternFill>
                  <bgColor theme="1"/>
                </patternFill>
              </fill>
            </x14:dxf>
          </x14:cfRule>
          <xm:sqref>I64:J64</xm:sqref>
        </x14:conditionalFormatting>
        <x14:conditionalFormatting xmlns:xm="http://schemas.microsoft.com/office/excel/2006/main">
          <x14:cfRule type="expression" priority="2" id="{2C804459-9CF9-4F0A-AA06-A7FBE7D121A9}">
            <xm:f>'3. Getting Started'!$B$6="No"</xm:f>
            <x14:dxf>
              <font>
                <color theme="1"/>
              </font>
              <fill>
                <patternFill>
                  <bgColor theme="1"/>
                </patternFill>
              </fill>
            </x14:dxf>
          </x14:cfRule>
          <xm:sqref>I3:K81</xm:sqref>
        </x14:conditionalFormatting>
        <x14:conditionalFormatting xmlns:xm="http://schemas.microsoft.com/office/excel/2006/main">
          <x14:cfRule type="expression" priority="1" id="{EB4BEFA2-A563-4A33-881A-221D3610499C}">
            <xm:f>'3. Getting Started'!$B$9="No"</xm:f>
            <x14:dxf>
              <fill>
                <patternFill>
                  <bgColor theme="1"/>
                </patternFill>
              </fill>
            </x14:dxf>
          </x14:cfRule>
          <xm:sqref>M64:N64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2" t="s">
        <v>254</v>
      </c>
      <c r="E1" s="473" t="str">
        <f>IF('3. Getting Started'!$B2="","",'3. Getting Started'!$B2)</f>
        <v/>
      </c>
      <c r="G1" s="42"/>
      <c r="I1" s="47"/>
      <c r="J1" s="47"/>
      <c r="K1" s="472" t="s">
        <v>254</v>
      </c>
      <c r="L1" s="473" t="str">
        <f>IF('3. Getting Started'!$B2="","",'3. Getting Started'!$B2)</f>
        <v/>
      </c>
      <c r="M1" s="47"/>
      <c r="N1" s="44"/>
      <c r="O1" s="44"/>
      <c r="P1" s="44"/>
      <c r="Q1" s="44"/>
      <c r="R1" s="44"/>
      <c r="S1" s="44"/>
      <c r="T1" s="44"/>
    </row>
    <row r="2" spans="1:20" ht="25.9" customHeight="1" thickBot="1" x14ac:dyDescent="0.3">
      <c r="A2" s="346" t="s">
        <v>238</v>
      </c>
      <c r="B2" s="207"/>
      <c r="C2" s="207"/>
      <c r="D2" s="207"/>
      <c r="E2" s="207"/>
      <c r="F2" s="208"/>
      <c r="G2" s="81"/>
      <c r="H2" s="346" t="s">
        <v>250</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69">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6"/>
      <c r="D15" s="21"/>
      <c r="E15" s="21"/>
      <c r="F15" s="63">
        <f>D15+E15</f>
        <v>0</v>
      </c>
      <c r="G15" s="153"/>
      <c r="H15" s="24"/>
      <c r="I15" s="39"/>
      <c r="J15" s="466"/>
      <c r="K15" s="21"/>
      <c r="L15" s="21"/>
      <c r="M15" s="63">
        <f>K15+L15</f>
        <v>0</v>
      </c>
    </row>
    <row r="16" spans="1:20" x14ac:dyDescent="0.25">
      <c r="A16" s="24"/>
      <c r="B16" s="39"/>
      <c r="C16" s="466"/>
      <c r="D16" s="21"/>
      <c r="E16" s="21"/>
      <c r="F16" s="63">
        <f>D16+E16</f>
        <v>0</v>
      </c>
      <c r="G16" s="153"/>
      <c r="H16" s="24"/>
      <c r="I16" s="39"/>
      <c r="J16" s="466"/>
      <c r="K16" s="21"/>
      <c r="L16" s="21"/>
      <c r="M16" s="63">
        <f>K16+L16</f>
        <v>0</v>
      </c>
    </row>
    <row r="17" spans="1:18" x14ac:dyDescent="0.25">
      <c r="A17" s="24"/>
      <c r="B17" s="39"/>
      <c r="C17" s="466"/>
      <c r="D17" s="21"/>
      <c r="E17" s="21"/>
      <c r="F17" s="63">
        <f>D17+E17</f>
        <v>0</v>
      </c>
      <c r="G17" s="153"/>
      <c r="H17" s="24"/>
      <c r="I17" s="39"/>
      <c r="J17" s="466"/>
      <c r="K17" s="21"/>
      <c r="L17" s="21"/>
      <c r="M17" s="63">
        <f>K17+L17</f>
        <v>0</v>
      </c>
    </row>
    <row r="18" spans="1:18" x14ac:dyDescent="0.25">
      <c r="A18" s="24"/>
      <c r="B18" s="39"/>
      <c r="C18" s="466"/>
      <c r="D18" s="21"/>
      <c r="E18" s="21"/>
      <c r="F18" s="63">
        <f>D18+E18</f>
        <v>0</v>
      </c>
      <c r="G18" s="153"/>
      <c r="H18" s="24"/>
      <c r="I18" s="39"/>
      <c r="J18" s="466"/>
      <c r="K18" s="21"/>
      <c r="L18" s="21"/>
      <c r="M18" s="63">
        <f>K18+L18</f>
        <v>0</v>
      </c>
    </row>
    <row r="19" spans="1:18" x14ac:dyDescent="0.25">
      <c r="A19" s="24"/>
      <c r="B19" s="39"/>
      <c r="C19" s="466"/>
      <c r="D19" s="21"/>
      <c r="E19" s="21"/>
      <c r="F19" s="63">
        <f>D19+E19</f>
        <v>0</v>
      </c>
      <c r="G19" s="153"/>
      <c r="H19" s="24"/>
      <c r="I19" s="39"/>
      <c r="J19" s="466"/>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499" t="s">
        <v>219</v>
      </c>
      <c r="B22" s="499"/>
      <c r="C22" s="499"/>
      <c r="D22" s="499"/>
      <c r="E22" s="499"/>
      <c r="F22" s="499"/>
      <c r="G22" s="78"/>
      <c r="H22" s="499" t="s">
        <v>219</v>
      </c>
      <c r="I22" s="499"/>
      <c r="J22" s="499"/>
      <c r="K22" s="499"/>
      <c r="L22" s="499"/>
      <c r="M22" s="499"/>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0" t="s">
        <v>219</v>
      </c>
      <c r="B26" s="500"/>
      <c r="C26" s="500"/>
      <c r="D26" s="500"/>
      <c r="E26" s="500"/>
      <c r="F26" s="199" t="s">
        <v>107</v>
      </c>
      <c r="G26" s="78"/>
      <c r="H26" s="500" t="s">
        <v>219</v>
      </c>
      <c r="I26" s="500"/>
      <c r="J26" s="500"/>
      <c r="K26" s="500"/>
      <c r="L26" s="500"/>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65</v>
      </c>
      <c r="B29" s="402" t="str">
        <f>IF('8. 16-17 Amounts'!B1="","",'8. 16-17 Amounts'!B1)</f>
        <v/>
      </c>
      <c r="C29" s="86"/>
      <c r="D29" s="196"/>
      <c r="E29" s="86"/>
      <c r="F29" s="86"/>
      <c r="H29" s="88" t="s">
        <v>117</v>
      </c>
      <c r="I29" s="402" t="str">
        <f>IF('8. 16-17 Amounts'!I1="","",'8. 16-17 Amounts'!I1)</f>
        <v/>
      </c>
      <c r="J29" s="86"/>
      <c r="K29" s="196"/>
      <c r="L29" s="86"/>
      <c r="M29" s="86"/>
      <c r="N29" s="87"/>
      <c r="O29" s="87"/>
      <c r="P29" s="83"/>
    </row>
    <row r="30" spans="1:18" x14ac:dyDescent="0.25">
      <c r="A30" s="89" t="s">
        <v>66</v>
      </c>
      <c r="B30" s="402" t="str">
        <f>IF('5. 15-16 Amounts'!B1="","",'5. 15-16 Amounts'!B1)</f>
        <v/>
      </c>
      <c r="C30" s="87"/>
      <c r="D30" s="197"/>
      <c r="E30" s="87"/>
      <c r="F30" s="86"/>
      <c r="G30" s="86"/>
      <c r="H30" s="89" t="s">
        <v>66</v>
      </c>
      <c r="I30" s="402" t="str">
        <f>IF('4. Multi-Year MOE Summary'!$C$8="","",'4. Multi-Year MOE Summary'!$C$8)</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69</v>
      </c>
      <c r="B34" s="100" t="str">
        <f>IF(B31&gt;=0,"",IF('3. Getting Started'!$B$7="No","",'5. 15-16 Amounts'!D30))</f>
        <v/>
      </c>
      <c r="C34" s="100" t="str">
        <f>IF(B31&gt;=0,"",IF('3. Getting Started'!$B$7="No","",'5. 15-16 Amounts'!F30))</f>
        <v/>
      </c>
      <c r="D34" s="101"/>
      <c r="E34" s="55"/>
      <c r="F34" s="55"/>
      <c r="G34" s="52"/>
      <c r="H34" s="188" t="s">
        <v>118</v>
      </c>
      <c r="I34" s="100" t="str">
        <f>IF(I31&gt;=0,"",IF('3. Getting Started'!$B$7="No","",'4. Multi-Year MOE Summary'!$D$8))</f>
        <v/>
      </c>
      <c r="J34" s="100" t="str">
        <f>IF(I31&gt;=0,"",IF('3. Getting Started'!$B$7="No","",'4. Multi-Year MOE Summary'!$F$8))</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8" t="s">
        <v>219</v>
      </c>
      <c r="B36" s="498"/>
      <c r="C36" s="498"/>
      <c r="D36" s="86"/>
      <c r="E36" s="86"/>
      <c r="F36" s="86"/>
      <c r="G36" s="103"/>
      <c r="H36" s="498" t="s">
        <v>219</v>
      </c>
      <c r="I36" s="498"/>
      <c r="J36" s="498"/>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108"/>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108"/>
      <c r="O39" s="108"/>
      <c r="P39" s="108"/>
      <c r="Q39" s="108"/>
      <c r="R39" s="108"/>
      <c r="S39" s="108"/>
      <c r="T39" s="108"/>
      <c r="U39" s="108"/>
      <c r="V39" s="108"/>
      <c r="W39" s="108"/>
      <c r="X39" s="108"/>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108"/>
      <c r="O46" s="108"/>
      <c r="P46" s="108"/>
      <c r="Q46" s="108"/>
      <c r="R46" s="108"/>
      <c r="S46" s="108"/>
      <c r="T46" s="108"/>
      <c r="U46" s="108"/>
      <c r="V46" s="108"/>
      <c r="W46" s="108"/>
      <c r="X46" s="108"/>
      <c r="Y46" s="109"/>
      <c r="Z46" s="109"/>
    </row>
    <row r="47" spans="1:29" ht="16.5" thickBot="1" x14ac:dyDescent="0.3">
      <c r="A47" s="496" t="s">
        <v>219</v>
      </c>
      <c r="B47" s="496"/>
      <c r="C47" s="496"/>
      <c r="D47" s="52"/>
      <c r="E47" s="52"/>
      <c r="F47" s="52"/>
      <c r="G47" s="103"/>
      <c r="H47" s="496" t="s">
        <v>219</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176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8" t="s">
        <v>219</v>
      </c>
      <c r="B57" s="498"/>
      <c r="D57" s="52"/>
      <c r="E57" s="52"/>
      <c r="F57" s="52"/>
      <c r="G57" s="103"/>
      <c r="H57" s="498" t="s">
        <v>219</v>
      </c>
      <c r="I57" s="498"/>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1" t="s">
        <v>219</v>
      </c>
      <c r="B67" s="491"/>
      <c r="H67" s="491" t="s">
        <v>219</v>
      </c>
      <c r="I67" s="491"/>
    </row>
    <row r="68" spans="1:13" ht="30" customHeight="1" x14ac:dyDescent="0.25">
      <c r="A68" s="177" t="s">
        <v>88</v>
      </c>
      <c r="B68" s="178"/>
      <c r="C68" s="355"/>
      <c r="D68" s="181"/>
      <c r="H68" s="177" t="s">
        <v>88</v>
      </c>
      <c r="I68" s="178"/>
      <c r="J68" s="355"/>
      <c r="K68" s="181"/>
    </row>
    <row r="69" spans="1:13" x14ac:dyDescent="0.25">
      <c r="A69" s="179" t="s">
        <v>63</v>
      </c>
      <c r="B69" s="184" t="s">
        <v>180</v>
      </c>
      <c r="C69" s="420" t="s">
        <v>224</v>
      </c>
      <c r="H69" s="179" t="s">
        <v>63</v>
      </c>
      <c r="I69" s="184" t="s">
        <v>97</v>
      </c>
      <c r="J69" s="420" t="s">
        <v>224</v>
      </c>
    </row>
    <row r="70" spans="1:13" x14ac:dyDescent="0.25">
      <c r="A70" s="336" t="s">
        <v>180</v>
      </c>
      <c r="B70" s="352">
        <v>0</v>
      </c>
      <c r="C70" s="477" t="s">
        <v>225</v>
      </c>
      <c r="H70" s="336" t="s">
        <v>71</v>
      </c>
      <c r="I70" s="352">
        <v>0</v>
      </c>
      <c r="J70" s="477" t="s">
        <v>225</v>
      </c>
    </row>
    <row r="71" spans="1:13" ht="30" customHeight="1" x14ac:dyDescent="0.25">
      <c r="A71" s="428" t="s">
        <v>258</v>
      </c>
      <c r="B71" s="424"/>
      <c r="C71" s="424"/>
      <c r="D71" s="424"/>
      <c r="E71" s="424"/>
      <c r="F71" s="424"/>
      <c r="G71" s="424"/>
      <c r="H71" s="424"/>
      <c r="I71" s="424"/>
      <c r="J71" s="424"/>
      <c r="K71" s="424"/>
      <c r="L71" s="424"/>
      <c r="M71" s="424"/>
    </row>
    <row r="72" spans="1:13" s="436" customFormat="1" ht="12" x14ac:dyDescent="0.2">
      <c r="A72" s="427" t="s">
        <v>252</v>
      </c>
      <c r="B72" s="452"/>
      <c r="C72" s="452"/>
      <c r="D72" s="452"/>
      <c r="E72" s="452"/>
      <c r="F72" s="452"/>
      <c r="G72" s="452"/>
      <c r="H72" s="452"/>
      <c r="I72" s="452"/>
      <c r="J72" s="452"/>
      <c r="K72" s="452"/>
      <c r="L72" s="452"/>
      <c r="M72" s="452"/>
    </row>
    <row r="73" spans="1:13" x14ac:dyDescent="0.25">
      <c r="A73" s="497" t="s">
        <v>221</v>
      </c>
      <c r="B73" s="497"/>
      <c r="C73" s="497"/>
      <c r="D73" s="497"/>
      <c r="E73" s="497"/>
      <c r="F73" s="497"/>
      <c r="G73" s="497"/>
      <c r="H73" s="497"/>
      <c r="I73" s="497"/>
      <c r="J73" s="497"/>
      <c r="K73" s="497"/>
      <c r="L73" s="497"/>
      <c r="M73" s="497"/>
    </row>
  </sheetData>
  <sheetProtection algorithmName="SHA-512" hashValue="fIvrLnWO1nJbznLNacBKz4MRcS7q0Rne3BcHekyTe6U2sTdgXLf1B/gNSaYolSMZy27Y+CSRjYg3jtUoLH2VpA==" saltValue="9gYahl6vQhkDp7wrVJpUxA==" spinCount="100000" sheet="1" objects="1" scenarios="1" formatColumns="0" formatRows="0"/>
  <mergeCells count="27">
    <mergeCell ref="A73:M73"/>
    <mergeCell ref="A67:B67"/>
    <mergeCell ref="H22:M22"/>
    <mergeCell ref="H26:L26"/>
    <mergeCell ref="H36:J36"/>
    <mergeCell ref="H47:J47"/>
    <mergeCell ref="H57:I57"/>
    <mergeCell ref="H67:I67"/>
    <mergeCell ref="A22:F22"/>
    <mergeCell ref="A26:E26"/>
    <mergeCell ref="A36:C36"/>
    <mergeCell ref="A47:C47"/>
    <mergeCell ref="A57:B57"/>
    <mergeCell ref="Z47:AA47"/>
    <mergeCell ref="T47:U47"/>
    <mergeCell ref="P47:Q47"/>
    <mergeCell ref="R47:S47"/>
    <mergeCell ref="V47:W47"/>
    <mergeCell ref="X47:Y47"/>
    <mergeCell ref="N37:R37"/>
    <mergeCell ref="T37:Y37"/>
    <mergeCell ref="N38:O38"/>
    <mergeCell ref="P38:Q38"/>
    <mergeCell ref="R38:S38"/>
    <mergeCell ref="T38:U38"/>
    <mergeCell ref="V38:W38"/>
    <mergeCell ref="X38:Y38"/>
  </mergeCells>
  <conditionalFormatting sqref="A25">
    <cfRule type="containsText" dxfId="1668" priority="12" operator="containsText" text="Not eligible for this exception">
      <formula>NOT(ISERROR(SEARCH("Not eligible for this exception",A25)))</formula>
    </cfRule>
  </conditionalFormatting>
  <conditionalFormatting sqref="H25">
    <cfRule type="containsText" dxfId="1667" priority="11" operator="containsText" text="Not eligible for this exception">
      <formula>NOT(ISERROR(SEARCH("Not eligible for this exception",H25)))</formula>
    </cfRule>
  </conditionalFormatting>
  <conditionalFormatting sqref="B34:C35">
    <cfRule type="expression" dxfId="1666" priority="8">
      <formula>$B$31&gt;=0</formula>
    </cfRule>
  </conditionalFormatting>
  <conditionalFormatting sqref="I34:J35">
    <cfRule type="expression" dxfId="1665" priority="7">
      <formula>$I$31&gt;=0</formula>
    </cfRule>
  </conditionalFormatting>
  <conditionalFormatting sqref="B25:E25">
    <cfRule type="expression" dxfId="1664" priority="6">
      <formula>$B$31&gt;=0</formula>
    </cfRule>
  </conditionalFormatting>
  <conditionalFormatting sqref="I25:L25">
    <cfRule type="expression" dxfId="1663" priority="5">
      <formula>$I$31&gt;=0</formula>
    </cfRule>
  </conditionalFormatting>
  <hyperlinks>
    <hyperlink ref="C70" r:id="rId1"/>
    <hyperlink ref="J70" r:id="rId2"/>
    <hyperlink ref="A72" r:id="rId3" display="http://cifr.wested.org/resources/lea-moe/calculator/"/>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10" id="{90400A1B-EF48-4773-A1FA-968625785DF8}">
            <xm:f>'3. Getting Started'!$B$14="No"</xm:f>
            <x14:dxf>
              <fill>
                <patternFill>
                  <bgColor theme="1"/>
                </patternFill>
              </fill>
            </x14:dxf>
          </x14:cfRule>
          <xm:sqref>A60:B66</xm:sqref>
        </x14:conditionalFormatting>
        <x14:conditionalFormatting xmlns:xm="http://schemas.microsoft.com/office/excel/2006/main">
          <x14:cfRule type="expression" priority="9" id="{32AB0086-725A-46B0-9989-0E2413A6D60D}">
            <xm:f>'3. Getting Started'!$B$14="No"</xm:f>
            <x14:dxf>
              <fill>
                <patternFill>
                  <bgColor theme="1"/>
                </patternFill>
              </fill>
            </x14:dxf>
          </x14:cfRule>
          <xm:sqref>H60:I66</xm:sqref>
        </x14:conditionalFormatting>
        <x14:conditionalFormatting xmlns:xm="http://schemas.microsoft.com/office/excel/2006/main">
          <x14:cfRule type="expression" priority="4" id="{5C388EFD-D328-4388-A931-6C1D0183AAA5}">
            <xm:f>'3. Getting Started'!$B$7="Yes"</xm:f>
            <x14:dxf>
              <fill>
                <patternFill>
                  <bgColor theme="1"/>
                </patternFill>
              </fill>
            </x14:dxf>
          </x14:cfRule>
          <xm:sqref>B25:E25 I25:L25</xm:sqref>
        </x14:conditionalFormatting>
        <x14:conditionalFormatting xmlns:xm="http://schemas.microsoft.com/office/excel/2006/main">
          <x14:cfRule type="expression" priority="3" id="{C2B1D086-2B59-4A49-B33E-A535B3F134D0}">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Lists!$C$2:$C$5</xm:f>
          </x14:formula1>
          <xm:sqref>B41:B45 I41:I45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M35"/>
  <sheetViews>
    <sheetView zoomScaleNormal="100"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368" t="s">
        <v>205</v>
      </c>
      <c r="B1" s="378"/>
      <c r="D1" s="467" t="s">
        <v>254</v>
      </c>
      <c r="E1" s="3" t="str">
        <f>IF('3. Getting Started'!$B2="","",'3. Getting Started'!$B2)</f>
        <v/>
      </c>
      <c r="G1" s="486" t="s">
        <v>219</v>
      </c>
      <c r="H1" s="368" t="s">
        <v>204</v>
      </c>
      <c r="I1" s="34"/>
      <c r="K1" s="467" t="s">
        <v>254</v>
      </c>
      <c r="L1" s="3" t="str">
        <f>IF('3. Getting Started'!$B2="","",'3. Getting Started'!$B2)</f>
        <v/>
      </c>
    </row>
    <row r="2" spans="1:13" s="4" customFormat="1" ht="37.9" customHeight="1" thickBot="1" x14ac:dyDescent="0.3">
      <c r="A2" s="364" t="s">
        <v>211</v>
      </c>
      <c r="B2" s="11"/>
      <c r="C2" s="11"/>
      <c r="D2" s="11"/>
      <c r="E2" s="11"/>
      <c r="F2" s="365"/>
      <c r="G2" s="486"/>
      <c r="H2" s="364" t="s">
        <v>212</v>
      </c>
      <c r="I2" s="11"/>
      <c r="J2" s="11"/>
      <c r="K2" s="11"/>
      <c r="L2" s="11"/>
      <c r="M2" s="365"/>
    </row>
    <row r="3" spans="1:13" s="4" customFormat="1" ht="24" customHeight="1" x14ac:dyDescent="0.25">
      <c r="A3" s="369"/>
      <c r="B3" s="6"/>
      <c r="C3" s="25"/>
      <c r="D3" s="12" t="s">
        <v>153</v>
      </c>
      <c r="E3" s="13"/>
      <c r="F3" s="371"/>
      <c r="G3" s="486"/>
      <c r="H3" s="379"/>
      <c r="I3" s="380"/>
      <c r="J3" s="380"/>
      <c r="K3" s="12" t="s">
        <v>154</v>
      </c>
      <c r="L3" s="13"/>
      <c r="M3" s="370"/>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51" customFormat="1" ht="12" x14ac:dyDescent="0.2">
      <c r="A32" s="428" t="s">
        <v>258</v>
      </c>
      <c r="B32" s="447"/>
      <c r="C32" s="448"/>
      <c r="D32" s="449"/>
      <c r="E32" s="450"/>
      <c r="F32" s="449"/>
      <c r="G32" s="433"/>
      <c r="H32" s="447"/>
      <c r="I32" s="447"/>
      <c r="J32" s="448"/>
      <c r="K32" s="449"/>
      <c r="L32" s="450"/>
      <c r="M32" s="449"/>
    </row>
    <row r="33" spans="1:13" s="451" customFormat="1" ht="12" x14ac:dyDescent="0.2">
      <c r="A33" s="429" t="s">
        <v>252</v>
      </c>
      <c r="B33" s="447"/>
      <c r="C33" s="448"/>
      <c r="D33" s="449"/>
      <c r="E33" s="450"/>
      <c r="F33" s="449"/>
      <c r="G33" s="433"/>
      <c r="H33" s="447"/>
      <c r="I33" s="447"/>
      <c r="J33" s="448"/>
      <c r="K33" s="449"/>
      <c r="L33" s="450"/>
      <c r="M33" s="449"/>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odzT5qJmUxxFESAOikL5jKL2OGJzxNwjTtmc6ckJwMvALVfljQz3xAoFaBcQwfvj0seMYNAwVkzuXBQPTM8vsw==" saltValue="FSC/2eNZ+DKe+9fNTIKD4A==" spinCount="100000" sheet="1" objects="1" scenarios="1" formatColumns="0" formatRows="0"/>
  <mergeCells count="2">
    <mergeCell ref="G1:G31"/>
    <mergeCell ref="A34:M34"/>
  </mergeCells>
  <hyperlinks>
    <hyperlink ref="A33" r:id="rId1" display="http://cifr.wested.org/resources/lea-moe/calculator/"/>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C679DD38-2A43-4372-9072-B20F22417B87}">
            <xm:f>'3. Getting Started'!$B$6="No"</xm:f>
            <x14:dxf>
              <fill>
                <patternFill>
                  <bgColor theme="1"/>
                </patternFill>
              </fill>
            </x14:dxf>
          </x14:cfRule>
          <xm:sqref>D5:D31 K5:K31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autoPageBreaks="0"/>
  </sheetPr>
  <dimension ref="A1:P88"/>
  <sheetViews>
    <sheetView zoomScaleNormal="100"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109</v>
      </c>
      <c r="D1" s="218" t="s">
        <v>57</v>
      </c>
      <c r="G1" s="474" t="s">
        <v>254</v>
      </c>
      <c r="H1" s="475"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Summary'!$E$3:$E$8,1),'4. Multi-Year MOE Summary'!$A$3:$A$8),IF($B$1="Compliance",LOOKUP(2,1/SEARCH("Met",'4. Multi-Year MOE Summary'!$E$3:$E$9,1),'4. Multi-Year MOE Summary'!$A$3:$A$9),""))</f>
        <v>2010-2011</v>
      </c>
      <c r="C4" s="234"/>
      <c r="E4" s="232" t="s">
        <v>54</v>
      </c>
      <c r="F4" s="233" t="str">
        <f>IF($B$1="Eligibility",LOOKUP(2,1/SEARCH("Met",'4. Multi-Year MOE Summary'!$G$3:$G$8,1),'4. Multi-Year MOE Summary'!$A$3:$A$8),IF($B$1="Compliance",LOOKUP(2,1/SEARCH("Met",'4. Multi-Year MOE Summary'!$G$3:$G$9,1),'4. Multi-Year MOE Summary'!$A$3:$A$9),""))</f>
        <v>2010-2011</v>
      </c>
      <c r="G4" s="234"/>
      <c r="I4" s="235" t="s">
        <v>54</v>
      </c>
      <c r="J4" s="233" t="str">
        <f>IF($B$1="Eligibility",LOOKUP(2,1/SEARCH("Met",'4. Multi-Year MOE Summary'!$I$3:$I$8,1),'4. Multi-Year MOE Summary'!$A$3:$A$8),IF($B$1="Compliance",LOOKUP(2,1/SEARCH("Met",'4. Multi-Year MOE Summary'!$I$3:$I$9,1),'4. Multi-Year MOE Summary'!$A$3:$A$9),""))</f>
        <v>2010-2011</v>
      </c>
      <c r="K4" s="236"/>
      <c r="M4" s="235" t="s">
        <v>54</v>
      </c>
      <c r="N4" s="233" t="str">
        <f>IF($B$1="Eligibility",LOOKUP(2,1/SEARCH("Met",'4. Multi-Year MOE Summary'!$K$3:$K$8,1),'4. Multi-Year MOE Summary'!$A$3:$A$8),IF($B$1="Compliance",LOOKUP(2,1/SEARCH("Met",'4. Multi-Year MOE Summary'!$K$3:$K$9,1),'4. Multi-Year MOE Summary'!$A$3:$A$9),""))</f>
        <v>2010-2011</v>
      </c>
      <c r="O4" s="236"/>
    </row>
    <row r="5" spans="1:16" x14ac:dyDescent="0.25">
      <c r="A5" s="232" t="s">
        <v>20</v>
      </c>
      <c r="B5" s="233">
        <f>IF($B$1="Eligibility",LOOKUP(B4,'4. Multi-Year MOE Summary'!$A$3:$A$8,'4. Multi-Year MOE Summary'!$D$3:$D$8),IF($B$1="Compliance",LOOKUP(B4,'4. Multi-Year MOE Summary'!$A$3:$A$9,'4. Multi-Year MOE Summary'!$D$3:$D$9)))</f>
        <v>0</v>
      </c>
      <c r="C5" s="237"/>
      <c r="E5" s="232" t="s">
        <v>20</v>
      </c>
      <c r="F5" s="233">
        <f>IF($B$1="Eligibility",LOOKUP(F4,'4. Multi-Year MOE Summary'!$A$3:$A$8,'4. Multi-Year MOE Summary'!$F$3:$F$8),IF($B$1="Compliance",LOOKUP(F4,'4. Multi-Year MOE Summary'!$A$3:$A$9,'4. Multi-Year MOE Summary'!$F$3:$F$9)))</f>
        <v>0</v>
      </c>
      <c r="G5" s="237"/>
      <c r="H5" s="220"/>
      <c r="I5" s="235" t="s">
        <v>20</v>
      </c>
      <c r="J5" s="233" t="str">
        <f>IF($B$1="Eligibility",LOOKUP(J4,'4. Multi-Year MOE Summary'!$A$3:$A$8,'4. Multi-Year MOE Summary'!$H$3:$H$8),IF($B$1="Compliance",LOOKUP(J4,'4. Multi-Year MOE Summary'!$A$3:$A$9,'4. Multi-Year MOE Summary'!$H$3:$H$9)))</f>
        <v/>
      </c>
      <c r="K5" s="238"/>
      <c r="M5" s="235" t="s">
        <v>20</v>
      </c>
      <c r="N5" s="233" t="str">
        <f>IF($B$1="Eligibility",LOOKUP(N4,'4. Multi-Year MOE Summary'!$A$3:$A$8,'4. Multi-Year MOE Summary'!$J$3:$J$8),IF($B$1="Compliance",LOOKUP(N4,'4. Multi-Year MOE Summary'!$A$3:$A$9,'4. Multi-Year MOE Summary'!$J$3:$J$9)))</f>
        <v/>
      </c>
      <c r="O5" s="238"/>
    </row>
    <row r="6" spans="1:16" x14ac:dyDescent="0.25">
      <c r="A6" s="232" t="s">
        <v>170</v>
      </c>
      <c r="B6" s="239" t="str">
        <f>IF($B$1="Eligibility",'11. 17-18 Amounts'!D30,'11. 17-18 Amounts'!K30)</f>
        <v/>
      </c>
      <c r="C6" s="240" t="str">
        <f>IF(B6="","",IF(B6&gt;=B5,"Met","Did Not Meet"))</f>
        <v/>
      </c>
      <c r="D6" s="241" t="str">
        <f>IF(C6="","",IF(C6="Met","You have met MOE.","Add exception information."))</f>
        <v/>
      </c>
      <c r="E6" s="232" t="s">
        <v>170</v>
      </c>
      <c r="F6" s="239" t="str">
        <f>IF($B$1="Eligibility",'11. 17-18 Amounts'!F30,'11. 17-18 Amounts'!M30)</f>
        <v/>
      </c>
      <c r="G6" s="240" t="str">
        <f>IF(F6="","",IF(F6&gt;=F5,"Met","Did Not Meet"))</f>
        <v/>
      </c>
      <c r="H6" s="241" t="str">
        <f>IF(G6="","",IF(G6="Met","You have met MOE.","Add exception information."))</f>
        <v/>
      </c>
      <c r="I6" s="232" t="s">
        <v>170</v>
      </c>
      <c r="J6" s="239" t="str">
        <f>IF($B$1="Eligibility",'11. 17-18 Amounts'!D31,'11. 17-18 Amounts'!K31)</f>
        <v/>
      </c>
      <c r="K6" s="240" t="str">
        <f>IF(J6="","",IF(J6&gt;=J5,"Met","Did Not Meet"))</f>
        <v/>
      </c>
      <c r="L6" s="241" t="str">
        <f>IF(K6="","",IF(K6="Met","You have met MOE.","Add exception information."))</f>
        <v/>
      </c>
      <c r="M6" s="232" t="s">
        <v>170</v>
      </c>
      <c r="N6" s="239" t="str">
        <f>IF($B$1="Eligibility",'11. 17-18 Amounts'!F31,'11. 17-18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IF(C6="Met","NA",B71)</f>
        <v>0</v>
      </c>
      <c r="C8" s="240"/>
      <c r="D8" s="220"/>
      <c r="E8" s="232" t="s">
        <v>45</v>
      </c>
      <c r="F8" s="233">
        <f>IF(G6="Met","NA",F71)</f>
        <v>0</v>
      </c>
      <c r="G8" s="240"/>
      <c r="H8" s="220"/>
      <c r="I8" s="232" t="s">
        <v>45</v>
      </c>
      <c r="J8" s="233" t="str">
        <f>IF(K6="","",IF(K6="Met","NA",J72))</f>
        <v/>
      </c>
      <c r="K8" s="240"/>
      <c r="M8" s="232" t="s">
        <v>45</v>
      </c>
      <c r="N8" s="233" t="str">
        <f>IF(O6="","",IF(O6="Met","NA",N72))</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IF(C6="Met","NA",IF(C9="Met","NA",B83))</f>
        <v>0</v>
      </c>
      <c r="C10" s="240"/>
      <c r="D10" s="242"/>
      <c r="E10" s="232" t="s">
        <v>46</v>
      </c>
      <c r="F10" s="233">
        <f>IF(G6="Met","NA",IF(G9="Met","NA",F83))</f>
        <v>0</v>
      </c>
      <c r="G10" s="240"/>
      <c r="H10" s="242"/>
      <c r="I10" s="232" t="s">
        <v>46</v>
      </c>
      <c r="J10" s="233" t="str">
        <f>IF(K6="Met","NA",IF(K9="Met","NA",J85))</f>
        <v/>
      </c>
      <c r="K10" s="240"/>
      <c r="L10" s="242"/>
      <c r="M10" s="232" t="s">
        <v>46</v>
      </c>
      <c r="N10" s="233" t="str">
        <f>IF(O6="Met","NA",IF(O9="Met","NA",N85))</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1" t="s">
        <v>219</v>
      </c>
      <c r="B12" s="491"/>
      <c r="C12" s="491"/>
      <c r="E12" s="491" t="s">
        <v>219</v>
      </c>
      <c r="F12" s="491"/>
      <c r="G12" s="491"/>
      <c r="I12" s="491" t="s">
        <v>219</v>
      </c>
      <c r="J12" s="491"/>
      <c r="K12" s="491"/>
      <c r="M12" s="491" t="s">
        <v>219</v>
      </c>
      <c r="N12" s="491"/>
      <c r="O12" s="491"/>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81" t="s">
        <v>74</v>
      </c>
      <c r="F16" s="255" t="s">
        <v>75</v>
      </c>
      <c r="G16" s="252"/>
      <c r="H16" s="256"/>
      <c r="I16" s="254" t="s">
        <v>74</v>
      </c>
      <c r="J16" s="255" t="s">
        <v>75</v>
      </c>
      <c r="K16" s="252"/>
      <c r="L16" s="256"/>
      <c r="M16" s="254" t="s">
        <v>74</v>
      </c>
      <c r="N16" s="255" t="s">
        <v>75</v>
      </c>
      <c r="O16" s="252"/>
      <c r="P16" s="256"/>
    </row>
    <row r="17" spans="1:16" x14ac:dyDescent="0.25">
      <c r="A17" s="388" t="str">
        <f>IF(C$6="Met","","2017-18 Total")</f>
        <v>2017-18 Total</v>
      </c>
      <c r="B17" s="258">
        <f>IF(A17="","",IF($B$1="Eligibility",IF('13. 17-18 Exc &amp; Adj'!$F$21&lt;0,0,'13. 17-18 Exc &amp; Adj'!$F$21),IF($B$1="Compliance",IF('13. 17-18 Exc &amp; Adj'!$M$21&lt;0,0,'13. 17-18 Exc &amp; Adj'!$M$21))))</f>
        <v>0</v>
      </c>
      <c r="C17" s="252"/>
      <c r="D17" s="256"/>
      <c r="E17" s="388" t="str">
        <f>IF(G$6="Met","","2017-18 Total")</f>
        <v>2017-18 Total</v>
      </c>
      <c r="F17" s="258">
        <f>IF(E17="","",IF($B$1="Eligibility",IF('13. 17-18 Exc &amp; Adj'!$F$21&lt;0,0,'13. 17-18 Exc &amp; Adj'!$F$21),IF($B$1="Compliance",IF('13. 17-18 Exc &amp; Adj'!$M$21&lt;0,0,'13. 17-18 Exc &amp; Adj'!$M$21))))</f>
        <v>0</v>
      </c>
      <c r="G17" s="252"/>
      <c r="H17" s="256"/>
      <c r="I17" s="257" t="str">
        <f>IF(K$6="Met","","2017-18 Total")</f>
        <v>2017-18 Total</v>
      </c>
      <c r="J17" s="258">
        <f>IF(I17="","",IF($B$1="Eligibility",IF('13. 17-18 Exc &amp; Adj'!$F$21&lt;0,0,'13. 17-18 Exc &amp; Adj'!$F$21),IF($B$1="Compliance",IF('13. 17-18 Exc &amp; Adj'!$M$21&lt;0,0,'13. 17-18 Exc &amp; Adj'!$M$21))))</f>
        <v>0</v>
      </c>
      <c r="K17" s="252"/>
      <c r="L17" s="256"/>
      <c r="M17" s="257" t="str">
        <f>IF(O$6="Met","","2017-18 Total")</f>
        <v>2017-18 Total</v>
      </c>
      <c r="N17" s="258">
        <f>IF(M17="","",IF($B$1="Eligibility",IF('13. 17-18 Exc &amp; Adj'!$F$21&lt;0,0,'13. 17-18 Exc &amp; Adj'!$F$21),IF($B$1="Compliance",IF('13. 17-18 Exc &amp; Adj'!$M$21&lt;0,0,'13. 17-18 Exc &amp; Adj'!$M$21))))</f>
        <v>0</v>
      </c>
      <c r="O17" s="252"/>
      <c r="P17" s="256"/>
    </row>
    <row r="18" spans="1:16" x14ac:dyDescent="0.25">
      <c r="A18" s="388" t="str">
        <f>IF(C$6="Met","",IF(B$4="2016-2017","","2016-17 Total"))</f>
        <v>2016-17 Total</v>
      </c>
      <c r="B18" s="258">
        <f>IF(A18="","",IF($B$1="Eligibility",IF('10. 16-17 Exc &amp; Adj'!$F$21&lt;0,0,'10. 16-17 Exc &amp; Adj'!$F$21),IF($B$1="Compliance",IF('10. 16-17 Exc &amp; Adj'!$M$21&lt;0,0,'10. 16-17 Exc &amp; Adj'!$M$21))))</f>
        <v>0</v>
      </c>
      <c r="C18" s="252"/>
      <c r="D18" s="256"/>
      <c r="E18" s="388" t="str">
        <f>IF($G$6="Met","",IF(F4="2016-2017","","2016-17 Total"))</f>
        <v>2016-17 Total</v>
      </c>
      <c r="F18" s="258">
        <f>IF(E18="","",IF($B$1="Eligibility",IF('10. 16-17 Exc &amp; Adj'!$F$21&lt;0,0,'10. 16-17 Exc &amp; Adj'!$F$21),IF($B$1="Compliance",IF('10. 16-17 Exc &amp; Adj'!$M$21&lt;0,0,'10. 16-17 Exc &amp; Adj'!$M$21))))</f>
        <v>0</v>
      </c>
      <c r="G18" s="252"/>
      <c r="H18" s="256"/>
      <c r="I18" s="257" t="str">
        <f>IF(K$6="Met","",IF(J$4="2016-2017","","2016-17 Total"))</f>
        <v>2016-17 Total</v>
      </c>
      <c r="J18" s="258">
        <f>IF(I18="","",IF($B$1="Eligibility",IF('10. 16-17 Exc &amp; Adj'!$F$21&lt;0,0,'10. 16-17 Exc &amp; Adj'!$F$21),IF($B$1="Compliance",IF('10. 16-17 Exc &amp; Adj'!$M$21&lt;0,0,'10. 16-17 Exc &amp; Adj'!$M$21))))</f>
        <v>0</v>
      </c>
      <c r="K18" s="252"/>
      <c r="L18" s="256"/>
      <c r="M18" s="257" t="str">
        <f>IF(O$6="Met","",IF(N$4="2016-2017","","2016-17 Total"))</f>
        <v>2016-17 Total</v>
      </c>
      <c r="N18" s="258">
        <f>IF(M18="","",IF($B$1="Eligibility",IF('10. 16-17 Exc &amp; Adj'!$F$21&lt;0,0,'10. 16-17 Exc &amp; Adj'!$F$21),IF($B$1="Compliance",IF('10. 16-17 Exc &amp; Adj'!$M$21&lt;0,0,'10. 16-17 Exc &amp; Adj'!$M$21))))</f>
        <v>0</v>
      </c>
      <c r="O18" s="252"/>
      <c r="P18" s="256"/>
    </row>
    <row r="19" spans="1:16" x14ac:dyDescent="0.25">
      <c r="A19" s="388" t="str">
        <f>IF(C$6="Met","",IF(OR(B$4="2016-2017",B$4="2015-2016"),"","2015-16 Total"))</f>
        <v>2015-16 Total</v>
      </c>
      <c r="B19" s="258">
        <f>IF(A19="","",IF('7. 15-16 Exc &amp; Adj'!$M$21&lt;0,0,'7. 15-16 Exc &amp; Adj'!$M$21))</f>
        <v>0</v>
      </c>
      <c r="C19" s="252"/>
      <c r="D19" s="256"/>
      <c r="E19" s="388" t="str">
        <f>IF(G$6="Met","",IF(OR(F$4="2016-2017",F$4="2015-2016"),"","2015-16 Total"))</f>
        <v>2015-16 Total</v>
      </c>
      <c r="F19" s="258">
        <f>IF(E19="","",IF('7. 15-16 Exc &amp; Adj'!$M$21&lt;0,0,'7. 15-16 Exc &amp; Adj'!$M$21))</f>
        <v>0</v>
      </c>
      <c r="G19" s="252"/>
      <c r="H19" s="256"/>
      <c r="I19" s="257" t="str">
        <f>IF(K$6="Met","",IF(OR(J$4="2016-2017",J$4="2015-2016"),"","2015-16 Total"))</f>
        <v>2015-16 Total</v>
      </c>
      <c r="J19" s="258">
        <f>IF(I19="","",IF('7. 15-16 Exc &amp; Adj'!$M$21&lt;0,0,'7. 15-16 Exc &amp; Adj'!$M$21))</f>
        <v>0</v>
      </c>
      <c r="K19" s="252"/>
      <c r="L19" s="256"/>
      <c r="M19" s="257" t="str">
        <f>IF(O$6="Met","",IF(OR(N$4="2016-2017",N$4="2015-2016"),"","2015-16 Total"))</f>
        <v>2015-16 Total</v>
      </c>
      <c r="N19" s="258">
        <f>IF(M19="","",IF('7. 15-16 Exc &amp; Adj'!$M$21&lt;0,0,'7. 15-16 Exc &amp; Adj'!$M$21))</f>
        <v>0</v>
      </c>
      <c r="O19" s="252"/>
      <c r="P19" s="256"/>
    </row>
    <row r="20" spans="1:16" x14ac:dyDescent="0.25">
      <c r="A20" s="388" t="str">
        <f>IF(C$6="Met","",IF(OR(B$4="2016-2017",B$4="2015-2016",B$4="2014-2015"),"","2014-15 Total"))</f>
        <v>2014-15 Total</v>
      </c>
      <c r="B20" s="258">
        <f>IF(A20="","",IF('23. 14-15 Exc &amp; Adj'!F20&lt;0,0,'23. 14-15 Exc &amp; Adj'!F20))</f>
        <v>0</v>
      </c>
      <c r="C20" s="252"/>
      <c r="D20" s="256"/>
      <c r="E20" s="388" t="str">
        <f>IF(G$6="Met","",IF(OR(F$4="2016-2017",F$4="2015-2016",F$4="2014-2015"),"","2014-15 Total"))</f>
        <v>2014-15 Total</v>
      </c>
      <c r="F20" s="258">
        <f>IF(E20="","",IF('23. 14-15 Exc &amp; Adj'!F20&lt;0,0,'23. 14-15 Exc &amp; Adj'!F20))</f>
        <v>0</v>
      </c>
      <c r="G20" s="252"/>
      <c r="H20" s="256"/>
      <c r="I20" s="257" t="str">
        <f>IF(K$6="Met","",IF(OR(J$4="2016-2017",J$4="2015-2016",J$4="2014-2015"),"","2014-15 Total"))</f>
        <v>2014-15 Total</v>
      </c>
      <c r="J20" s="258">
        <f>IF(I20="","",IF('23. 14-15 Exc &amp; Adj'!F20&lt;0,0,'23. 14-15 Exc &amp; Adj'!F20))</f>
        <v>0</v>
      </c>
      <c r="K20" s="252"/>
      <c r="L20" s="256"/>
      <c r="M20" s="257" t="str">
        <f>IF(O$6="Met","",IF(OR(N$4="2016-2017",N$4="2015-2016",N$4="2014-2015"),"","2014-15 Total"))</f>
        <v>2014-15 Total</v>
      </c>
      <c r="N20" s="258">
        <f>IF(M20="","",IF('23. 14-15 Exc &amp; Adj'!F20&lt;0,0,'23. 14-15 Exc &amp; Adj'!F20))</f>
        <v>0</v>
      </c>
      <c r="O20" s="252"/>
      <c r="P20" s="256"/>
    </row>
    <row r="21" spans="1:16" x14ac:dyDescent="0.25">
      <c r="A21" s="288" t="str">
        <f>IF(C$6="Met","",IF(OR(B$4="2016-2017",B$4="2015-2016",B$4="2014-2015",B$4="2013-2014"),"","2013-14 Total"))</f>
        <v>2013-14 Total</v>
      </c>
      <c r="B21" s="258">
        <f>IF(A21="","",IF('22. 13-14 Exc &amp; Adj'!F20&lt;0,0,'22. 13-14 Exc &amp; Adj'!F20))</f>
        <v>0</v>
      </c>
      <c r="C21" s="252"/>
      <c r="D21" s="256"/>
      <c r="E21" s="288" t="str">
        <f>IF(G$6="Met","",IF(OR(F$4="2016-2017",F$4="2015-2016",F$4="2014-2015",F$4="2013-2014"),"","2013-14 Total"))</f>
        <v>2013-14 Total</v>
      </c>
      <c r="F21" s="258">
        <f>IF(E21="","",IF('22. 13-14 Exc &amp; Adj'!F20&lt;0,0,'22. 13-14 Exc &amp; Adj'!F20))</f>
        <v>0</v>
      </c>
      <c r="G21" s="252"/>
      <c r="H21" s="256"/>
      <c r="I21" s="259" t="str">
        <f>IF(K$6="Met","",IF(OR(J$4="2016-2017",J$4="2015-2016",J$4="2014-2015",J$4="2013-2014"),"","2013-14 Total"))</f>
        <v>2013-14 Total</v>
      </c>
      <c r="J21" s="258">
        <f>IF(I21="","",IF('22. 13-14 Exc &amp; Adj'!F20&lt;0,0,'22. 13-14 Exc &amp; Adj'!F20))</f>
        <v>0</v>
      </c>
      <c r="K21" s="252"/>
      <c r="L21" s="256"/>
      <c r="M21" s="259" t="str">
        <f>IF(O$6="Met","",IF(OR(N$4="2016-2017",N$4="2015-2016",N$4="2014-2015",N$4="2013-2014"),"","2013-14 Total"))</f>
        <v>2013-14 Total</v>
      </c>
      <c r="N21" s="258">
        <f>IF(M21="","",IF('22. 13-14 Exc &amp; Adj'!F20&lt;0,0,'22. 13-14 Exc &amp; Adj'!F20))</f>
        <v>0</v>
      </c>
      <c r="O21" s="252"/>
      <c r="P21" s="256"/>
    </row>
    <row r="22" spans="1:16" x14ac:dyDescent="0.25">
      <c r="A22" s="389" t="str">
        <f>IF(C$6="Met","",IF(OR(B$4="2016-2017",B$4="2015-2016",B$4="2014-2015",B$4="2013-2014",B$4="2012-2013"),"","2012-13 Total"))</f>
        <v>2012-13 Total</v>
      </c>
      <c r="B22" s="261">
        <f>IF(A22="","",IF('21. 12-13 Exc &amp; Adj'!F20&lt;0,0,'21. 12-13 Exc &amp; Adj'!F20))</f>
        <v>0</v>
      </c>
      <c r="C22" s="252"/>
      <c r="D22" s="256"/>
      <c r="E22" s="389" t="str">
        <f>IF(G$6="Met","",IF(OR(F$4="2016-2017",F$4="2015-2016",F$4="2014-2015",F$4="2013-2014",F$4="2012-2013"),"","2012-13 Total"))</f>
        <v>2012-13 Total</v>
      </c>
      <c r="F22" s="261">
        <f>IF(E22="","",IF('21. 12-13 Exc &amp; Adj'!F20&lt;0,0,'21. 12-13 Exc &amp; Adj'!F20))</f>
        <v>0</v>
      </c>
      <c r="G22" s="252"/>
      <c r="H22" s="256"/>
      <c r="I22" s="260" t="str">
        <f>IF(K$6="Met","",IF(OR(J$4="2016-2017",J$4="2015-2016",J$4="2014-2015",J$4="2013-2014",J$4="2012-2013"),"","2012-13 Total"))</f>
        <v>2012-13 Total</v>
      </c>
      <c r="J22" s="261">
        <f>IF(I22="","",IF('21. 12-13 Exc &amp; Adj'!F20&lt;0,0,'21. 12-13 Exc &amp; Adj'!F20))</f>
        <v>0</v>
      </c>
      <c r="K22" s="252"/>
      <c r="L22" s="256"/>
      <c r="M22" s="260" t="str">
        <f>IF(O$6="Met","",IF(OR(N$4="2016-2017",N$4="2015-2016",N$4="2014-2015",N$4="2013-2014",N$4="2012-2013"),"","2012-13 Total"))</f>
        <v>2012-13 Total</v>
      </c>
      <c r="N22" s="261">
        <f>IF(M22="","",IF('21. 12-13 Exc &amp; Adj'!F20&lt;0,0,'21. 12-13 Exc &amp; Adj'!F20))</f>
        <v>0</v>
      </c>
      <c r="O22" s="252"/>
      <c r="P22" s="256"/>
    </row>
    <row r="23" spans="1:16" x14ac:dyDescent="0.25">
      <c r="A23" s="394" t="str">
        <f>IF(C$6="Met","",IF(OR(B$4="2016-2017",B$4="2015-2016",B$4="2014-2015",B$4="2013-2014",B$4="2012-2013",B$4="2011-2012"),"","2011-12 Total"))</f>
        <v>2011-12 Total</v>
      </c>
      <c r="B23" s="261">
        <f>IF(A23="","",IF('20. 11-12 Exc &amp; Adj'!F20&lt;0,0,'20. 11-12 Exc &amp; Adj'!F20))</f>
        <v>0</v>
      </c>
      <c r="C23" s="252"/>
      <c r="D23" s="220"/>
      <c r="E23" s="394" t="str">
        <f>IF(G$6="Met","",IF(OR(F$4="2016-2017",F$4="2015-2016",F$4="2014-2015",F$4="2013-2014",F$4="2012-2013",F$4="2011-2012"),"","2011-12 Total"))</f>
        <v>2011-12 Total</v>
      </c>
      <c r="F23" s="386">
        <f>IF(E23="","",IF('20. 11-12 Exc &amp; Adj'!F20&lt;0,0,'20. 11-12 Exc &amp; Adj'!F20))</f>
        <v>0</v>
      </c>
      <c r="G23" s="252"/>
      <c r="H23" s="220"/>
      <c r="I23" s="385" t="str">
        <f>IF(K$6="Met","",IF(OR(J$4="2016-2017",J$4="2015-2016",J$4="2014-2015",J$4="2013-2014",J$4="2012-2013",J$4="2011-2012"),"","2011-12 Total"))</f>
        <v>2011-12 Total</v>
      </c>
      <c r="J23" s="386">
        <f>IF(I23="","",IF('20. 11-12 Exc &amp; Adj'!F20&lt;0,0,'20. 11-12 Exc &amp; Adj'!F20))</f>
        <v>0</v>
      </c>
      <c r="K23" s="252"/>
      <c r="M23" s="385" t="str">
        <f>IF(O$6="Met","",IF(OR(N$4="2016-2017",N$4="2015-2016",N$4="2014-2015",N$4="2013-2014",N$4="2012-2013",N$4="2011-2012"),"","2011-12 Total"))</f>
        <v>2011-12 Total</v>
      </c>
      <c r="N23" s="386">
        <f>IF(M23="","",IF('20. 11-12 Exc &amp; Adj'!F20&lt;0,0,'20. 11-12 Exc &amp; Adj'!F20))</f>
        <v>0</v>
      </c>
      <c r="O23" s="252"/>
    </row>
    <row r="24" spans="1:16" x14ac:dyDescent="0.25">
      <c r="A24" s="488" t="s">
        <v>219</v>
      </c>
      <c r="B24" s="489"/>
      <c r="C24" s="252"/>
      <c r="E24" s="488" t="s">
        <v>219</v>
      </c>
      <c r="F24" s="489"/>
      <c r="G24" s="252"/>
      <c r="I24" s="488" t="s">
        <v>219</v>
      </c>
      <c r="J24" s="489"/>
      <c r="K24" s="252"/>
      <c r="L24" s="219"/>
      <c r="M24" s="488" t="s">
        <v>219</v>
      </c>
      <c r="N24" s="489"/>
      <c r="O24" s="252"/>
      <c r="P24" s="219"/>
    </row>
    <row r="25" spans="1:16" x14ac:dyDescent="0.25">
      <c r="A25" s="262" t="s">
        <v>13</v>
      </c>
      <c r="B25" s="263"/>
      <c r="C25" s="264"/>
      <c r="D25" s="265"/>
      <c r="E25" s="262" t="s">
        <v>13</v>
      </c>
      <c r="F25" s="263"/>
      <c r="G25" s="264"/>
      <c r="H25" s="265"/>
      <c r="I25" s="262" t="s">
        <v>13</v>
      </c>
      <c r="J25" s="263"/>
      <c r="K25" s="264"/>
      <c r="L25" s="265"/>
      <c r="M25" s="262" t="s">
        <v>13</v>
      </c>
      <c r="N25" s="263"/>
      <c r="O25" s="264"/>
      <c r="P25" s="265"/>
    </row>
    <row r="26" spans="1:16" x14ac:dyDescent="0.25">
      <c r="A26" s="281" t="s">
        <v>74</v>
      </c>
      <c r="B26" s="255" t="s">
        <v>75</v>
      </c>
      <c r="C26" s="264"/>
      <c r="D26" s="265"/>
      <c r="E26" s="254" t="s">
        <v>74</v>
      </c>
      <c r="F26" s="255" t="s">
        <v>75</v>
      </c>
      <c r="G26" s="264"/>
      <c r="H26" s="265"/>
      <c r="I26" s="254" t="s">
        <v>74</v>
      </c>
      <c r="J26" s="255" t="s">
        <v>75</v>
      </c>
      <c r="K26" s="264"/>
      <c r="L26" s="265"/>
      <c r="M26" s="254" t="s">
        <v>74</v>
      </c>
      <c r="N26" s="255" t="s">
        <v>75</v>
      </c>
      <c r="O26" s="264"/>
      <c r="P26" s="265"/>
    </row>
    <row r="27" spans="1:16" x14ac:dyDescent="0.25">
      <c r="A27" s="388" t="str">
        <f>IF(C$6="Met","","2017-18 Total")</f>
        <v>2017-18 Total</v>
      </c>
      <c r="B27" s="258">
        <f>IF(A27="","",IF(AND($B$1="Eligibility",'13. 17-18 Exc &amp; Adj'!$B$31=""),0,(IF(AND($B$1="Eligibility",'13. 17-18 Exc &amp; Adj'!$B$31&gt;=0),"",IF(AND($B$1="Eligibility",'3. Getting Started'!$B$7="No"),'13. 17-18 Exc &amp; Adj'!$B$25,IF(AND($B$1="Eligibility",OR('3. Getting Started'!$B$7="Yes",'3. Getting Started'!$B$7="")),'13. 17-18 Exc &amp; Adj'!$B$35,IF(AND($B$1="Compliance",'13. 17-18 Exc &amp; Adj'!$I$31=""),0,IF(AND($B$1="Compliance",'13. 17-18 Exc &amp; Adj'!$I$31&gt;=0),"",IF(AND($B$1="Compliance",'3. Getting Started'!$B$7="No"),'13. 17-18 Exc &amp; Adj'!$I$25,IF(AND($B$1="Compliance",OR('3. Getting Started'!$B$7="Yes",'3. Getting Started'!$B$7="")),'13. 17-18 Exc &amp; Adj'!$I$35))))))))))</f>
        <v>0</v>
      </c>
      <c r="C27" s="264"/>
      <c r="D27" s="311"/>
      <c r="E27" s="257" t="str">
        <f>IF(G$6="Met","","2017-18 Total")</f>
        <v>2017-18 Total</v>
      </c>
      <c r="F27" s="258">
        <f>IF(E27="","",IF(AND($B$1="Eligibility",'13. 17-18 Exc &amp; Adj'!$B$31=""),0,(IF(AND($B$1="Eligibility",'13. 17-18 Exc &amp; Adj'!$B$31&gt;=0),"",IF(AND($B$1="Eligibility",'3. Getting Started'!$B$7="No"),'13. 17-18 Exc &amp; Adj'!$C$25,IF(AND($B$1="Eligibility",OR('3. Getting Started'!$B$7="Yes",'3. Getting Started'!$B$7="")),'13. 17-18 Exc &amp; Adj'!$C$35,IF(AND($B$1="Compliance",'13. 17-18 Exc &amp; Adj'!$I$31=""),0,IF(AND($B$1="Compliance",'13. 17-18 Exc &amp; Adj'!$I$31&gt;=0),"",IF(AND($B$1="Compliance",'3. Getting Started'!$B$7="No"),'13. 17-18 Exc &amp; Adj'!$J$25,IF(AND($B$1="Compliance",OR('3. Getting Started'!$B$7="Yes",'3. Getting Started'!$B$7="")),'13. 17-18 Exc &amp; Adj'!$J$35))))))))))</f>
        <v>0</v>
      </c>
      <c r="G27" s="264"/>
      <c r="H27" s="220"/>
      <c r="I27" s="257" t="str">
        <f>IF(K$6="Met","","2017-18 Total")</f>
        <v>2017-18 Total</v>
      </c>
      <c r="J27" s="258">
        <f>IF(I27="","",IF(AND($B$1="Eligibility",'13. 17-18 Exc &amp; Adj'!$B$31=""),0,(IF(AND($B$1="Eligibility",'13. 17-18 Exc &amp; Adj'!$B$31&gt;=0),"",IF(AND($B$1="Eligibility",'3. Getting Started'!$B$7="No"),'13. 17-18 Exc &amp; Adj'!$D$25,IF(AND($B$1="Eligibility",OR('3. Getting Started'!$B$7="Yes",'3. Getting Started'!$B$7="")),'13. 17-18 Exc &amp; Adj'!$B$35,IF(AND($B$1="Compliance",'13. 17-18 Exc &amp; Adj'!$I$31=""),0,IF(AND($B$1="Compliance",'13. 17-18 Exc &amp; Adj'!$I$31&gt;=0),"",IF(AND($B$1="Compliance",'3. Getting Started'!$B$7="No"),'13. 17-18 Exc &amp; Adj'!$K$25,IF(AND($B$1="Compliance",OR('3. Getting Started'!$B$7="Yes",'3. Getting Started'!$B$7="")),'13. 17-18 Exc &amp; Adj'!$I$35))))))))))</f>
        <v>0</v>
      </c>
      <c r="K27" s="264"/>
      <c r="M27" s="257" t="str">
        <f>IF(O$6="Met","","2017-18 Total")</f>
        <v>2017-18 Total</v>
      </c>
      <c r="N27" s="258">
        <f>IF(M27="","",IF(AND($B$1="Eligibility",'13. 17-18 Exc &amp; Adj'!$B$31=""),0,(IF(AND($B$1="Eligibility",'13. 17-18 Exc &amp; Adj'!$B$31&gt;=0),"",IF(AND($B$1="Eligibility",'3. Getting Started'!$B$7="No"),'13. 17-18 Exc &amp; Adj'!$E$25,IF(AND($B$1="Eligibility",OR('3. Getting Started'!$B$7="Yes",'3. Getting Started'!$B$7="")),'13. 17-18 Exc &amp; Adj'!$C$35,IF(AND($B$1="Compliance",'13. 17-18 Exc &amp; Adj'!$I$31=""),0,IF(AND($B$1="Compliance",'13. 17-18 Exc &amp; Adj'!$I$31&gt;=0),"",IF(AND($B$1="Compliance",'3. Getting Started'!$B$7="No"),'13. 17-18 Exc &amp; Adj'!$L$25,IF(AND($B$1="Compliance",OR('3. Getting Started'!$B$7="Yes",'3. Getting Started'!$B$7="")),'13. 17-18 Exc &amp; Adj'!$J$35))))))))))</f>
        <v>0</v>
      </c>
      <c r="O27" s="264"/>
    </row>
    <row r="28" spans="1:16" x14ac:dyDescent="0.25">
      <c r="A28" s="388" t="str">
        <f>IF(C$6="Met","",IF(B$4="2016-2017","","2016-17 Total"))</f>
        <v>2016-17 Total</v>
      </c>
      <c r="B28" s="258">
        <f>IF(A28="","",IF(AND($B$1="Eligibility",'10. 16-17 Exc &amp; Adj'!$B$31=""),0,(IF(AND($B$1="Eligibility",'10. 16-17 Exc &amp; Adj'!$B$31&gt;=0),"",IF(AND($B$1="Eligibility",'3. Getting Started'!$B$7="No"),'10. 16-17 Exc &amp; Adj'!$B$25,IF(AND($B$1="Eligibility",OR('3. Getting Started'!$B$7="Yes",'3. Getting Started'!$B$7="")),'10. 16-17 Exc &amp; Adj'!$B$35,IF(AND($B$1="Compliance",'10. 16-17 Exc &amp; Adj'!$I$31=""),0,IF(AND($B$1="Compliance",'10. 16-17 Exc &amp; Adj'!$I$31&gt;=0),"",IF(AND($B$1="Compliance",'3. Getting Started'!$B$7="No"),'10. 16-17 Exc &amp; Adj'!$I$25,IF(AND($B$1="Compliance",OR('3. Getting Started'!$B$7="Yes",'3. Getting Started'!$B$7="")),'10. 16-17 Exc &amp; Adj'!$I$35))))))))))</f>
        <v>0</v>
      </c>
      <c r="C28" s="264"/>
      <c r="D28" s="220"/>
      <c r="E28" s="257" t="str">
        <f>IF(G$6="Met","",IF(F$4="2016-2017","","2016-17 Total"))</f>
        <v>2016-17 Total</v>
      </c>
      <c r="F28" s="258">
        <f>IF(E28="","",IF(AND($B$1="Eligibility",'10. 16-17 Exc &amp; Adj'!$B$31=""),0,(IF(AND($B$1="Eligibility",'10. 16-17 Exc &amp; Adj'!$B$31&gt;=0),"",IF(AND($B$1="Eligibility",'3. Getting Started'!$B$7="No"),'10. 16-17 Exc &amp; Adj'!$C$25,IF(AND($B$1="Eligibility",OR('3. Getting Started'!$B$7="Yes",'3. Getting Started'!$B$7="")),'10. 16-17 Exc &amp; Adj'!$C$35,IF(AND($B$1="Compliance",'10. 16-17 Exc &amp; Adj'!$I$31=""),0,IF(AND($B$1="Compliance",'10. 16-17 Exc &amp; Adj'!$I$31&gt;=0),"",IF(AND($B$1="Compliance",'3. Getting Started'!$B$7="No"),'10. 16-17 Exc &amp; Adj'!$J$25,IF(AND($B$1="Compliance",OR('3. Getting Started'!$B$7="Yes",'3. Getting Started'!$B$7="")),'10. 16-17 Exc &amp; Adj'!$J$35))))))))))</f>
        <v>0</v>
      </c>
      <c r="G28" s="264"/>
      <c r="H28" s="220"/>
      <c r="I28" s="257" t="str">
        <f>IF(K$6="Met","",IF(J$4="2016-2017","","2016-17 Total"))</f>
        <v>2016-17 Total</v>
      </c>
      <c r="J28" s="258">
        <f>IF(I28="","",IF(AND($B$1="Eligibility",'10. 16-17 Exc &amp; Adj'!$B$31=""),0,(IF(AND($B$1="Eligibility",'10. 16-17 Exc &amp; Adj'!$B$31&gt;=0),"",IF(AND($B$1="Eligibility",'3. Getting Started'!$B$7="No"),'10. 16-17 Exc &amp; Adj'!$D$25,IF(AND($B$1="Eligibility",OR('3. Getting Started'!$B$7="Yes",'3. Getting Started'!$B$7="")),'10. 16-17 Exc &amp; Adj'!$B$35,IF(AND($B$1="Compliance",'10. 16-17 Exc &amp; Adj'!$I$31=""),0,IF(AND($B$1="Compliance",'10. 16-17 Exc &amp; Adj'!$I$31&gt;=0),"",IF(AND($B$1="Compliance",'3. Getting Started'!$B$7="No"),'10. 16-17 Exc &amp; Adj'!$K$25,IF(AND($B$1="Compliance",OR('3. Getting Started'!$B$7="Yes",'3. Getting Started'!$B$7="")),'10. 16-17 Exc &amp; Adj'!$I$35))))))))))</f>
        <v>0</v>
      </c>
      <c r="K28" s="264"/>
      <c r="M28" s="257" t="str">
        <f>IF(O$6="Met","",IF(N$4="2016-2017","","2016-17 Total"))</f>
        <v>2016-17 Total</v>
      </c>
      <c r="N28" s="258">
        <f>IF(M28="","",IF(AND($B$1="Eligibility",'10. 16-17 Exc &amp; Adj'!$B$31=""),0,(IF(AND($B$1="Eligibility",'10. 16-17 Exc &amp; Adj'!$B$31&gt;=0),"",IF(AND($B$1="Eligibility",'3. Getting Started'!$B$7="No"),'10. 16-17 Exc &amp; Adj'!$E$25,IF(AND($B$1="Eligibility",OR('3. Getting Started'!$B$7="Yes",'3. Getting Started'!$B$7="")),'10. 16-17 Exc &amp; Adj'!$C$35,IF(AND($B$1="Compliance",'10. 16-17 Exc &amp; Adj'!$I$31=""),0,IF(AND($B$1="Compliance",'10. 16-17 Exc &amp; Adj'!$I$31&gt;=0),"",IF(AND($B$1="Compliance",'3. Getting Started'!$B$7="No"),'10. 16-17 Exc &amp; Adj'!$L$25,IF(AND($B$1="Compliance",OR('3. Getting Started'!$B$7="Yes",'3. Getting Started'!$B$7="")),'10. 16-17 Exc &amp; Adj'!$J$35))))))))))</f>
        <v>0</v>
      </c>
      <c r="O28" s="264"/>
    </row>
    <row r="29" spans="1:16" x14ac:dyDescent="0.25">
      <c r="A29" s="388" t="str">
        <f>IF(C$6="Met","",IF(OR(B$4="2016-2017",B$4="2015-2016"),"","2015-16 Total"))</f>
        <v>2015-16 Total</v>
      </c>
      <c r="B29" s="258">
        <f>IF(A29="","",IF('7. 15-16 Exc &amp; Adj'!$I$31="",0,IF('7. 15-16 Exc &amp; Adj'!$I$31&gt;=0,"",IF('3. Getting Started'!$B$7="No",'7. 15-16 Exc &amp; Adj'!$I$25,IF(OR('3. Getting Started'!$B$7="Yes",'3. Getting Started'!$B$7=""),'7. 15-16 Exc &amp; Adj'!$I$35)))))</f>
        <v>0</v>
      </c>
      <c r="C29" s="264"/>
      <c r="D29" s="220"/>
      <c r="E29" s="257" t="str">
        <f>IF(G$6="Met","",IF(OR(F$4="2016-2017",F$4="2015-2016"),"","2015-16 Total"))</f>
        <v>2015-16 Total</v>
      </c>
      <c r="F29" s="258">
        <f>IF(E29="","",IF('7. 15-16 Exc &amp; Adj'!$I$31="",0,IF('7. 15-16 Exc &amp; Adj'!$I$31&gt;=0,"",IF('3. Getting Started'!$B$7="No",'7. 15-16 Exc &amp; Adj'!$J$25,IF(OR('3. Getting Started'!$B$7="Yes",'3. Getting Started'!$B$7=""),'7. 15-16 Exc &amp; Adj'!$J$35)))))</f>
        <v>0</v>
      </c>
      <c r="G29" s="264"/>
      <c r="H29" s="220"/>
      <c r="I29" s="257" t="str">
        <f>IF(K$6="Met","",IF(OR(J$4="2016-2017",J$4="2015-2016"),"","2015-16 Total"))</f>
        <v>2015-16 Total</v>
      </c>
      <c r="J29" s="258">
        <f>IF(I29="","",IF('7. 15-16 Exc &amp; Adj'!$I$31="",0,IF('7. 15-16 Exc &amp; Adj'!$I$31&gt;=0,"",IF('3. Getting Started'!$B$7="No",'7. 15-16 Exc &amp; Adj'!$K$25,IF(OR('3. Getting Started'!$B$7="Yes",'3. Getting Started'!$B$7=""),'7. 15-16 Exc &amp; Adj'!$I$35)))))</f>
        <v>0</v>
      </c>
      <c r="K29" s="264"/>
      <c r="M29" s="257" t="str">
        <f>IF(O$6="Met","",IF(OR(N$4="2016-2017",N$4="2015-2016"),"","2015-16 Total"))</f>
        <v>2015-16 Total</v>
      </c>
      <c r="N29" s="258">
        <f>IF(M29="","",IF('7. 15-16 Exc &amp; Adj'!$I$31="",0,IF('7. 15-16 Exc &amp; Adj'!$I$31&gt;=0,"",IF('3. Getting Started'!$B$7="No",'7. 15-16 Exc &amp; Adj'!$L$25,IF(OR('3. Getting Started'!$B$7="Yes",'3. Getting Started'!$B$7=""),'7. 15-16 Exc &amp; Adj'!$J$35)))))</f>
        <v>0</v>
      </c>
      <c r="O29" s="264"/>
    </row>
    <row r="30" spans="1:16" x14ac:dyDescent="0.25">
      <c r="A30" s="388" t="str">
        <f>IF(C$6="Met","",IF(OR(B$4="2016-2017",B$4="2015-2016",B$4="2014-2015"),"","2014-15 Total"))</f>
        <v>2014-15 Total</v>
      </c>
      <c r="B30" s="258">
        <f>IF(A30="","",IF('23. 14-15 Exc &amp; Adj'!$B$30="",0,(IF('23. 14-15 Exc &amp; Adj'!$B$30&gt;=0,"",IF('3. Getting Started'!$B$7="No",'23. 14-15 Exc &amp; Adj'!B$24,'23. 14-15 Exc &amp; Adj'!B$34)))))</f>
        <v>0</v>
      </c>
      <c r="C30" s="264"/>
      <c r="D30" s="265"/>
      <c r="E30" s="257" t="str">
        <f>IF(G$6="Met","",IF(OR(F$4="2016-2017",F$4="2015-2016",F$4="2014-2015"),"","2014-15 Total"))</f>
        <v>2014-15 Total</v>
      </c>
      <c r="F30" s="258">
        <f>IF(E30="","",IF('23. 14-15 Exc &amp; Adj'!$B$30="",0,IF('23. 14-15 Exc &amp; Adj'!B30&gt;=0,"",IF('3. Getting Started'!B7="No",'23. 14-15 Exc &amp; Adj'!C24,'23. 14-15 Exc &amp; Adj'!C34))))</f>
        <v>0</v>
      </c>
      <c r="G30" s="264"/>
      <c r="H30" s="265"/>
      <c r="I30" s="257" t="str">
        <f>IF(K$6="Met","",IF(OR(J$4="2016-2017",J$4="2015-2016",J$4="2014-2015"),"","2014-15 Total"))</f>
        <v>2014-15 Total</v>
      </c>
      <c r="J30" s="258">
        <f>IF(I30="","",IF('23. 14-15 Exc &amp; Adj'!$B$30="",0,IF('23. 14-15 Exc &amp; Adj'!B30&gt;=0,"",IF('3. Getting Started'!B7="No",'23. 14-15 Exc &amp; Adj'!D24,'23. 14-15 Exc &amp; Adj'!B34))))</f>
        <v>0</v>
      </c>
      <c r="K30" s="264"/>
      <c r="L30" s="265"/>
      <c r="M30" s="257" t="str">
        <f>IF(O$6="Met","",IF(OR(N$4="2016-2017",N$4="2015-2016",N$4="2014-2015"),"","2014-15 Total"))</f>
        <v>2014-15 Total</v>
      </c>
      <c r="N30" s="258">
        <f>IF(M30="","",IF('23. 14-15 Exc &amp; Adj'!$B$30="",0,IF('23. 14-15 Exc &amp; Adj'!B30&gt;=0,"",IF('3. Getting Started'!B7="No",'23. 14-15 Exc &amp; Adj'!E24,'23. 14-15 Exc &amp; Adj'!C34))))</f>
        <v>0</v>
      </c>
      <c r="O30" s="264"/>
      <c r="P30" s="265"/>
    </row>
    <row r="31" spans="1:16" x14ac:dyDescent="0.25">
      <c r="A31" s="288" t="str">
        <f>IF(C$6="Met","",IF(OR(B$4="2016-2017",B$4="2015-2016",B$4="2014-2015",B$4="2013-2014"),"","2013-14 Total"))</f>
        <v>2013-14 Total</v>
      </c>
      <c r="B31" s="258">
        <f>IF(A31="","",IF('22. 13-14 Exc &amp; Adj'!$B$30="",0,IF('22. 13-14 Exc &amp; Adj'!$B$30&gt;="",0,IF('3. Getting Started'!$B$7="No",'22. 13-14 Exc &amp; Adj'!$B$24,'22. 13-14 Exc &amp; Adj'!$B$34))))</f>
        <v>0</v>
      </c>
      <c r="C31" s="264"/>
      <c r="D31" s="265"/>
      <c r="E31" s="259" t="str">
        <f>IF(G$6="Met","",IF(OR(F$4="2016-2017",F$4="2015-2016",F$4="2014-2015",F$4="2013-2014"),"","2013-14 Total"))</f>
        <v>2013-14 Total</v>
      </c>
      <c r="F31" s="258">
        <f>IF(E31="","",IF('22. 13-14 Exc &amp; Adj'!$B$30="",0,IF('22. 13-14 Exc &amp; Adj'!B30&gt;=0,"",IF('3. Getting Started'!B7="No",'22. 13-14 Exc &amp; Adj'!C24,'22. 13-14 Exc &amp; Adj'!C34))))</f>
        <v>0</v>
      </c>
      <c r="G31" s="264"/>
      <c r="H31" s="265"/>
      <c r="I31" s="259" t="str">
        <f>IF(K$6="Met","",IF(OR(J$4="2016-2017",J$4="2015-2016",J$4="2014-2015",J$4="2013-2014"),"","2013-14 Total"))</f>
        <v>2013-14 Total</v>
      </c>
      <c r="J31" s="258">
        <f>IF(I31="","",IF('22. 13-14 Exc &amp; Adj'!$B$30="",0,IF('22. 13-14 Exc &amp; Adj'!B30&gt;=0,"",IF('3. Getting Started'!B7="No",'22. 13-14 Exc &amp; Adj'!D24,'22. 13-14 Exc &amp; Adj'!B34))))</f>
        <v>0</v>
      </c>
      <c r="K31" s="264"/>
      <c r="L31" s="265"/>
      <c r="M31" s="259" t="str">
        <f>IF(O$6="Met","",IF(OR(N$4="2016-2017",N$4="2015-2016",N$4="2014-2015",N$4="2013-2014"),"","2013-14 Total"))</f>
        <v>2013-14 Total</v>
      </c>
      <c r="N31" s="258">
        <f>IF(M31="","",IF('22. 13-14 Exc &amp; Adj'!$B$30="",0,IF('22. 13-14 Exc &amp; Adj'!B30&gt;=0,"",IF('3. Getting Started'!B7="No",'22. 13-14 Exc &amp; Adj'!E24,'22. 13-14 Exc &amp; Adj'!C34))))</f>
        <v>0</v>
      </c>
      <c r="O31" s="264"/>
      <c r="P31" s="265"/>
    </row>
    <row r="32" spans="1:16" x14ac:dyDescent="0.25">
      <c r="A32" s="389" t="str">
        <f>IF(C$6="Met","",IF(OR(B$4="2016-2017",B$4="2015-2016",B$4="2014-2015",B$4="2013-2014",B$4="2012-2013"),"","2012-13 Total"))</f>
        <v>2012-13 Total</v>
      </c>
      <c r="B32" s="261">
        <f>IF(A32="","",IF('21. 12-13 Exc &amp; Adj'!$B$30="",0,IF('21. 12-13 Exc &amp; Adj'!B30&gt;=0,"",IF('3. Getting Started'!B7="No",'21. 12-13 Exc &amp; Adj'!B24,'21. 12-13 Exc &amp; Adj'!B34))))</f>
        <v>0</v>
      </c>
      <c r="C32" s="264"/>
      <c r="D32" s="265"/>
      <c r="E32" s="259" t="str">
        <f>IF(G$6="Met","",IF(OR(F$4="2016-2017",F$4="2015-2016",F$4="2014-2015",F$4="2013-2014",F$4="2012-2013"),"","2012-13 Total"))</f>
        <v>2012-13 Total</v>
      </c>
      <c r="F32" s="258">
        <f>IF(E32="","",IF('21. 12-13 Exc &amp; Adj'!$B$30="",0,IF('21. 12-13 Exc &amp; Adj'!B30&gt;=0,"",IF('3. Getting Started'!B7="No",'21. 12-13 Exc &amp; Adj'!C24,'21. 12-13 Exc &amp; Adj'!C34))))</f>
        <v>0</v>
      </c>
      <c r="G32" s="264"/>
      <c r="H32" s="265"/>
      <c r="I32" s="260" t="str">
        <f>IF(K$6="Met","",IF(OR(J$4="2016-2017",J$4="2015-2016",J$4="2014-2015",J$4="2013-2014",J$4="2012-2013"),"","2012-13 Total"))</f>
        <v>2012-13 Total</v>
      </c>
      <c r="J32" s="261">
        <f>IF(I32="","",IF('21. 12-13 Exc &amp; Adj'!$B$30="",0,IF('21. 12-13 Exc &amp; Adj'!B30&gt;=0,"",IF('3. Getting Started'!B7="No",'21. 12-13 Exc &amp; Adj'!D24,'21. 12-13 Exc &amp; Adj'!B34))))</f>
        <v>0</v>
      </c>
      <c r="K32" s="264"/>
      <c r="L32" s="265"/>
      <c r="M32" s="260" t="str">
        <f>IF(O$6="Met","",IF(OR(N$4="2016-2017",N$4="2015-2016",N$4="2014-2015",N$4="2013-2014",N$4="2012-2013"),"","2012-13 Total"))</f>
        <v>2012-13 Total</v>
      </c>
      <c r="N32" s="261">
        <f>IF(M32="","",IF('21. 12-13 Exc &amp; Adj'!$B$30="",0,IF('21. 12-13 Exc &amp; Adj'!B30&gt;=0,"",IF('3. Getting Started'!B7="No",'21. 12-13 Exc &amp; Adj'!E24,'21. 12-13 Exc &amp; Adj'!C34))))</f>
        <v>0</v>
      </c>
      <c r="O32" s="264"/>
      <c r="P32" s="265"/>
    </row>
    <row r="33" spans="1:16" x14ac:dyDescent="0.25">
      <c r="A33" s="394" t="str">
        <f>IF(C$6="Met","",IF(OR(B$4="2016-2017",B$4="2015-2016",B$4="2014-2015",B$4="2013-2014",B$4="2012-2013",B$4="2011-2012"),"","2011-12 Total"))</f>
        <v>2011-12 Total</v>
      </c>
      <c r="B33" s="386">
        <f>IF(A33="","",IF('20. 11-12 Exc &amp; Adj'!$B$30="",0,IF('20. 11-12 Exc &amp; Adj'!B30&gt;=0,"",IF('3. Getting Started'!B7="No",'20. 11-12 Exc &amp; Adj'!B24,'20. 11-12 Exc &amp; Adj'!B34))))</f>
        <v>0</v>
      </c>
      <c r="C33" s="264"/>
      <c r="D33" s="256"/>
      <c r="E33" s="385" t="str">
        <f>IF(G$6="Met","",IF(OR(F$4="2016-2017",F$4="2015-2016",F$4="2014-2015",F$4="2013-2014",F$4="2012-2013",F$4="2011-2012"),"","2011-12 Total"))</f>
        <v>2011-12 Total</v>
      </c>
      <c r="F33" s="386">
        <f>IF(E33="","",IF('20. 11-12 Exc &amp; Adj'!$B$30="",0,IF('20. 11-12 Exc &amp; Adj'!B30&gt;=0,"",IF('3. Getting Started'!B7="No",'20. 11-12 Exc &amp; Adj'!C24,'20. 11-12 Exc &amp; Adj'!C34))))</f>
        <v>0</v>
      </c>
      <c r="G33" s="264"/>
      <c r="H33" s="256"/>
      <c r="I33" s="385" t="str">
        <f>IF(K$6="Met","",IF(OR(J$4="2016-2017",J$4="2015-2016",J$4="2014-2015",J$4="2013-2014",J$4="2012-2013",J$4="2011-2012"),"","2011-12 Total"))</f>
        <v>2011-12 Total</v>
      </c>
      <c r="J33" s="386">
        <f>IF(I33="","",IF('20. 11-12 Exc &amp; Adj'!$B$30="",0,IF('20. 11-12 Exc &amp; Adj'!B30&gt;=0,"",IF('3. Getting Started'!B7="No",'20. 11-12 Exc &amp; Adj'!D24,'20. 11-12 Exc &amp; Adj'!B34))))</f>
        <v>0</v>
      </c>
      <c r="K33" s="264"/>
      <c r="L33" s="256"/>
      <c r="M33" s="385" t="str">
        <f>IF(O$6="Met","",IF(OR(N$4="2016-2017",N$4="2015-2016",N$4="2014-2015",N$4="2013-2014",N$4="2012-2013",N$4="2011-2012"),"","2011-12 Total"))</f>
        <v>2011-12 Total</v>
      </c>
      <c r="N33" s="271">
        <f>IF(M33="","",IF('20. 11-12 Exc &amp; Adj'!$B$30="",0,IF('20. 11-12 Exc &amp; Adj'!B30&gt;=0,"",IF('3. Getting Started'!B7="No",'20. 11-12 Exc &amp; Adj'!E24,'20. 11-12 Exc &amp; Adj'!C34))))</f>
        <v>0</v>
      </c>
      <c r="O33" s="264"/>
      <c r="P33" s="256"/>
    </row>
    <row r="34" spans="1:16" x14ac:dyDescent="0.25">
      <c r="A34" s="488" t="s">
        <v>219</v>
      </c>
      <c r="B34" s="489"/>
      <c r="C34" s="264"/>
      <c r="D34" s="256"/>
      <c r="E34" s="488" t="s">
        <v>219</v>
      </c>
      <c r="F34" s="489"/>
      <c r="G34" s="264"/>
      <c r="H34" s="256"/>
      <c r="I34" s="488" t="s">
        <v>219</v>
      </c>
      <c r="J34" s="489"/>
      <c r="K34" s="264"/>
      <c r="L34" s="256"/>
      <c r="M34" s="488" t="s">
        <v>219</v>
      </c>
      <c r="N34" s="489"/>
      <c r="O34" s="264"/>
      <c r="P34" s="256"/>
    </row>
    <row r="35" spans="1:16" x14ac:dyDescent="0.25">
      <c r="A35" s="250" t="s">
        <v>37</v>
      </c>
      <c r="B35" s="263"/>
      <c r="C35" s="264"/>
      <c r="D35" s="256"/>
      <c r="E35" s="250" t="s">
        <v>37</v>
      </c>
      <c r="F35" s="263"/>
      <c r="G35" s="264"/>
      <c r="H35" s="256"/>
      <c r="I35" s="250" t="s">
        <v>37</v>
      </c>
      <c r="J35" s="263"/>
      <c r="K35" s="264"/>
      <c r="L35" s="256"/>
      <c r="M35" s="250" t="s">
        <v>37</v>
      </c>
      <c r="N35" s="263"/>
      <c r="O35" s="264"/>
      <c r="P35" s="256"/>
    </row>
    <row r="36" spans="1:16" x14ac:dyDescent="0.25">
      <c r="A36" s="250" t="s">
        <v>41</v>
      </c>
      <c r="B36" s="263"/>
      <c r="C36" s="264"/>
      <c r="D36" s="256"/>
      <c r="E36" s="250" t="s">
        <v>41</v>
      </c>
      <c r="F36" s="263"/>
      <c r="G36" s="264"/>
      <c r="H36" s="256"/>
      <c r="I36" s="250" t="s">
        <v>41</v>
      </c>
      <c r="J36" s="263"/>
      <c r="K36" s="264"/>
      <c r="L36" s="256"/>
      <c r="M36" s="250" t="s">
        <v>41</v>
      </c>
      <c r="N36" s="263"/>
      <c r="O36" s="264"/>
      <c r="P36" s="256"/>
    </row>
    <row r="37" spans="1:16" x14ac:dyDescent="0.25">
      <c r="A37" s="250" t="s">
        <v>38</v>
      </c>
      <c r="B37" s="263"/>
      <c r="C37" s="264"/>
      <c r="D37" s="256"/>
      <c r="E37" s="250" t="s">
        <v>38</v>
      </c>
      <c r="F37" s="263"/>
      <c r="G37" s="264"/>
      <c r="H37" s="256"/>
      <c r="I37" s="250" t="s">
        <v>38</v>
      </c>
      <c r="J37" s="263"/>
      <c r="K37" s="264"/>
      <c r="L37" s="256"/>
      <c r="M37" s="250" t="s">
        <v>38</v>
      </c>
      <c r="N37" s="263"/>
      <c r="O37" s="264"/>
      <c r="P37" s="256"/>
    </row>
    <row r="38" spans="1:16" x14ac:dyDescent="0.25">
      <c r="A38" s="250" t="s">
        <v>40</v>
      </c>
      <c r="B38" s="263"/>
      <c r="C38" s="264"/>
      <c r="D38" s="256"/>
      <c r="E38" s="250" t="s">
        <v>40</v>
      </c>
      <c r="F38" s="263"/>
      <c r="G38" s="264"/>
      <c r="H38" s="256"/>
      <c r="I38" s="250" t="s">
        <v>40</v>
      </c>
      <c r="J38" s="263"/>
      <c r="K38" s="264"/>
      <c r="L38" s="256"/>
      <c r="M38" s="250" t="s">
        <v>40</v>
      </c>
      <c r="N38" s="263"/>
      <c r="O38" s="264"/>
      <c r="P38" s="256"/>
    </row>
    <row r="39" spans="1:16" x14ac:dyDescent="0.25">
      <c r="A39" s="250" t="s">
        <v>39</v>
      </c>
      <c r="B39" s="263"/>
      <c r="C39" s="264"/>
      <c r="D39" s="256"/>
      <c r="E39" s="250" t="s">
        <v>39</v>
      </c>
      <c r="F39" s="263"/>
      <c r="G39" s="264"/>
      <c r="H39" s="256"/>
      <c r="I39" s="250" t="s">
        <v>39</v>
      </c>
      <c r="J39" s="263"/>
      <c r="K39" s="264"/>
      <c r="L39" s="256"/>
      <c r="M39" s="250" t="s">
        <v>39</v>
      </c>
      <c r="N39" s="263"/>
      <c r="O39" s="264"/>
      <c r="P39" s="256"/>
    </row>
    <row r="40" spans="1:16" x14ac:dyDescent="0.25">
      <c r="A40" s="281" t="s">
        <v>74</v>
      </c>
      <c r="B40" s="255" t="s">
        <v>75</v>
      </c>
      <c r="C40" s="264"/>
      <c r="D40" s="256"/>
      <c r="E40" s="254" t="s">
        <v>74</v>
      </c>
      <c r="F40" s="255" t="s">
        <v>75</v>
      </c>
      <c r="G40" s="264"/>
      <c r="H40" s="256"/>
      <c r="I40" s="254" t="s">
        <v>74</v>
      </c>
      <c r="J40" s="266" t="s">
        <v>75</v>
      </c>
      <c r="K40" s="264"/>
      <c r="L40" s="256"/>
      <c r="M40" s="254" t="s">
        <v>74</v>
      </c>
      <c r="N40" s="266" t="s">
        <v>75</v>
      </c>
      <c r="O40" s="264"/>
      <c r="P40" s="256"/>
    </row>
    <row r="41" spans="1:16" x14ac:dyDescent="0.25">
      <c r="A41" s="388" t="str">
        <f>IF(C$6="Met","","2017-18 Total")</f>
        <v>2017-18 Total</v>
      </c>
      <c r="B41" s="270">
        <f>IF(A41="","",IF($B$1="Eligibility",'13. 17-18 Exc &amp; Adj'!$C$46,IF($B$1="Compliance",'13. 17-18 Exc &amp; Adj'!$J$46)))</f>
        <v>0</v>
      </c>
      <c r="C41" s="264"/>
      <c r="D41" s="256"/>
      <c r="E41" s="257" t="str">
        <f>IF(G$6="Met","","2017-18 Total")</f>
        <v>2017-18 Total</v>
      </c>
      <c r="F41" s="270">
        <f>IF(E41="","",IF($B$1="Eligibility",'13. 17-18 Exc &amp; Adj'!$C$46,IF($B$1="Compliance",'13. 17-18 Exc &amp; Adj'!$J$46)))</f>
        <v>0</v>
      </c>
      <c r="G41" s="264"/>
      <c r="H41" s="256"/>
      <c r="I41" s="257" t="str">
        <f>IF(K$6="Met","","2017-18 Total")</f>
        <v>2017-18 Total</v>
      </c>
      <c r="J41" s="268">
        <f>IF(I41="","",IF($B$1="Eligibility",'13. 17-18 Exc &amp; Adj'!$C$46,IF($B$1="Compliance",'13. 17-18 Exc &amp; Adj'!$J$46)))</f>
        <v>0</v>
      </c>
      <c r="K41" s="264"/>
      <c r="L41" s="256"/>
      <c r="M41" s="257" t="str">
        <f>IF(O$6="Met","","2017-18 Total")</f>
        <v>2017-18 Total</v>
      </c>
      <c r="N41" s="268">
        <f>IF(M41="","",IF($B$1="Eligibility",'13. 17-18 Exc &amp; Adj'!$C$46,IF($B$1="Compliance",'13. 17-18 Exc &amp; Adj'!$J$46)))</f>
        <v>0</v>
      </c>
      <c r="O41" s="264"/>
      <c r="P41" s="256"/>
    </row>
    <row r="42" spans="1:16" x14ac:dyDescent="0.25">
      <c r="A42" s="388" t="str">
        <f>IF(C$6="Met","",IF(B$4="2016-2017","","2016-17 Total"))</f>
        <v>2016-17 Total</v>
      </c>
      <c r="B42" s="270">
        <f>IF(A42="","",IF($B$1="Eligibility",'10. 16-17 Exc &amp; Adj'!$C$46,IF($B$1="Compliance",'10. 16-17 Exc &amp; Adj'!$J$46)))</f>
        <v>0</v>
      </c>
      <c r="C42" s="264"/>
      <c r="D42" s="256"/>
      <c r="E42" s="257" t="str">
        <f>IF(G$6="Met","",IF(F$4="2016-2017","","2016-17 Total"))</f>
        <v>2016-17 Total</v>
      </c>
      <c r="F42" s="270">
        <f>IF(E42="","",IF($B$1="Eligibility",'10. 16-17 Exc &amp; Adj'!$C$46,IF($B$1="Compliance",'10. 16-17 Exc &amp; Adj'!$J$46)))</f>
        <v>0</v>
      </c>
      <c r="G42" s="264"/>
      <c r="H42" s="256"/>
      <c r="I42" s="257" t="str">
        <f>IF(K$6="Met","",IF(J$4="2016-2017","","2016-17 Total"))</f>
        <v>2016-17 Total</v>
      </c>
      <c r="J42" s="268">
        <f>IF(I42="","",IF($B$1="Eligibility",'10. 16-17 Exc &amp; Adj'!$C$46,IF($B$1="Compliance",'10. 16-17 Exc &amp; Adj'!$J$46)))</f>
        <v>0</v>
      </c>
      <c r="K42" s="264"/>
      <c r="L42" s="256"/>
      <c r="M42" s="257" t="str">
        <f>IF(O$6="Met","",IF(N$4="2016-2017","","2016-17 Total"))</f>
        <v>2016-17 Total</v>
      </c>
      <c r="N42" s="268">
        <f>IF(M42="","",IF($B$1="Eligibility",'10. 16-17 Exc &amp; Adj'!$C$46,IF($B$1="Compliance",'10. 16-17 Exc &amp; Adj'!$J$46)))</f>
        <v>0</v>
      </c>
      <c r="O42" s="264"/>
      <c r="P42" s="256"/>
    </row>
    <row r="43" spans="1:16" x14ac:dyDescent="0.25">
      <c r="A43" s="388" t="str">
        <f>IF(C$6="Met","",IF(OR(B$4="2016-2017",B$4="2015-2016"),"","2015-16 Total"))</f>
        <v>2015-16 Total</v>
      </c>
      <c r="B43" s="270">
        <f>IF(A43="","",'7. 15-16 Exc &amp; Adj'!$J$46)</f>
        <v>0</v>
      </c>
      <c r="C43" s="264"/>
      <c r="D43" s="256"/>
      <c r="E43" s="257" t="str">
        <f>IF(G$6="Met","",IF(OR(F$4="2016-2017",F$4="2015-2016"),"","2015-16 Total"))</f>
        <v>2015-16 Total</v>
      </c>
      <c r="F43" s="270">
        <f>IF(E43="","",'7. 15-16 Exc &amp; Adj'!$J$46)</f>
        <v>0</v>
      </c>
      <c r="G43" s="264"/>
      <c r="H43" s="256"/>
      <c r="I43" s="257" t="str">
        <f>IF(K$6="Met","",IF(OR(J$4="2016-2017",J$4="2015-2016"),"","2015-16 Total"))</f>
        <v>2015-16 Total</v>
      </c>
      <c r="J43" s="268">
        <f>IF(I43="","",'7. 15-16 Exc &amp; Adj'!$J$46)</f>
        <v>0</v>
      </c>
      <c r="K43" s="264"/>
      <c r="L43" s="256"/>
      <c r="M43" s="257" t="str">
        <f>IF(O$6="Met","",IF(OR(N$4="2016-2017",N$4="2015-2016"),"","2015-16 Total"))</f>
        <v>2015-16 Total</v>
      </c>
      <c r="N43" s="268">
        <f>IF(M43="","",'7. 15-16 Exc &amp; Adj'!$J$46)</f>
        <v>0</v>
      </c>
      <c r="O43" s="264"/>
      <c r="P43" s="256"/>
    </row>
    <row r="44" spans="1:16" x14ac:dyDescent="0.25">
      <c r="A44" s="388" t="str">
        <f>IF(C$6="Met","",IF(OR(B$4="2016-2017",B$4="2015-2016",B$4="2014-2015"),"","2014-15 Total"))</f>
        <v>2014-15 Total</v>
      </c>
      <c r="B44" s="270">
        <f>IF(A44="","",'23. 14-15 Exc &amp; Adj'!C45)</f>
        <v>0</v>
      </c>
      <c r="C44" s="264"/>
      <c r="D44" s="256"/>
      <c r="E44" s="257" t="str">
        <f>IF(G$6="Met","",IF(OR(F$4="2016-2017",F$4="2015-2016",F$4="2014-2015"),"","2014-15 Total"))</f>
        <v>2014-15 Total</v>
      </c>
      <c r="F44" s="270">
        <f>IF(E44="","",'23. 14-15 Exc &amp; Adj'!C45)</f>
        <v>0</v>
      </c>
      <c r="G44" s="264"/>
      <c r="H44" s="256"/>
      <c r="I44" s="257" t="str">
        <f>IF(K$6="Met","",IF(OR(J$4="2016-2017",J$4="2015-2016",J$4="2014-2015"),"","2014-15 Total"))</f>
        <v>2014-15 Total</v>
      </c>
      <c r="J44" s="268">
        <f>IF(I44="","",'23. 14-15 Exc &amp; Adj'!C45)</f>
        <v>0</v>
      </c>
      <c r="K44" s="264"/>
      <c r="L44" s="256"/>
      <c r="M44" s="257" t="str">
        <f>IF(O$6="Met","",IF(OR(N$4="2016-2017",N$4="2015-2016",N$4="2014-2015"),"","2014-15 Total"))</f>
        <v>2014-15 Total</v>
      </c>
      <c r="N44" s="268">
        <f>IF(M44="","",'23. 14-15 Exc &amp; Adj'!C45)</f>
        <v>0</v>
      </c>
      <c r="O44" s="264"/>
      <c r="P44" s="256"/>
    </row>
    <row r="45" spans="1:16" x14ac:dyDescent="0.25">
      <c r="A45" s="288" t="str">
        <f>IF(C$6="Met","",IF(OR(B$4="2016-2017",B$4="2015-2016",B$4="2014-2015",B$4="2013-2014"),"","2013-14 Total"))</f>
        <v>2013-14 Total</v>
      </c>
      <c r="B45" s="270">
        <f>IF(A45="","",'22. 13-14 Exc &amp; Adj'!C45)</f>
        <v>0</v>
      </c>
      <c r="C45" s="264"/>
      <c r="D45" s="256"/>
      <c r="E45" s="259" t="str">
        <f>IF(G$6="Met","",IF(OR(F$4="2016-2017",F$4="2015-2016",F$4="2014-2015",F$4="2013-2014"),"","2013-14 Total"))</f>
        <v>2013-14 Total</v>
      </c>
      <c r="F45" s="270">
        <f>IF(E45="","",'22. 13-14 Exc &amp; Adj'!C45)</f>
        <v>0</v>
      </c>
      <c r="G45" s="264"/>
      <c r="H45" s="256"/>
      <c r="I45" s="259" t="str">
        <f>IF(K$6="Met","",IF(OR(J$4="2016-2017",J$4="2015-2016",J$4="2014-2015",J$4="2013-2014"),"","2013-14 Total"))</f>
        <v>2013-14 Total</v>
      </c>
      <c r="J45" s="268">
        <f>IF(I45="","",'22. 13-14 Exc &amp; Adj'!C45)</f>
        <v>0</v>
      </c>
      <c r="K45" s="264"/>
      <c r="L45" s="256"/>
      <c r="M45" s="259" t="str">
        <f>IF(O$6="Met","",IF(OR(N$4="2016-2017",N$4="2015-2016",N$4="2014-2015",N$4="2013-2014"),"","2013-14 Total"))</f>
        <v>2013-14 Total</v>
      </c>
      <c r="N45" s="268">
        <f>IF(M45="","",'22. 13-14 Exc &amp; Adj'!C45)</f>
        <v>0</v>
      </c>
      <c r="O45" s="264"/>
      <c r="P45" s="256"/>
    </row>
    <row r="46" spans="1:16" x14ac:dyDescent="0.25">
      <c r="A46" s="288" t="str">
        <f>IF(C$6="Met","",IF(OR(B$4="2016-2017",B$4="2015-2016",B$4="2014-2015",B$4="2013-2014",B$4="2012-2013"),"","2012-13 Total"))</f>
        <v>2012-13 Total</v>
      </c>
      <c r="B46" s="270">
        <f>IF(A46="","",'21. 12-13 Exc &amp; Adj'!C45)</f>
        <v>0</v>
      </c>
      <c r="C46" s="264"/>
      <c r="D46" s="256"/>
      <c r="E46" s="259" t="str">
        <f>IF(G$6="Met","",IF(OR(F$4="2016-2017",F$4="2015-2016",F$4="2014-2015",F$4="2013-2014",F$4="2012-2013"),"","2012-13 Total"))</f>
        <v>2012-13 Total</v>
      </c>
      <c r="F46" s="270">
        <f>IF(E46="","",'21. 12-13 Exc &amp; Adj'!C45)</f>
        <v>0</v>
      </c>
      <c r="G46" s="264"/>
      <c r="H46" s="256"/>
      <c r="I46" s="260" t="str">
        <f>IF(K$6="Met","",IF(OR(J$4="2016-2017",J$4="2015-2016",J$4="2014-2015",J$4="2013-2014",J$4="2012-2013"),"","2012-13 Total"))</f>
        <v>2012-13 Total</v>
      </c>
      <c r="J46" s="268">
        <f>IF(I46="","",'21. 12-13 Exc &amp; Adj'!C45)</f>
        <v>0</v>
      </c>
      <c r="K46" s="264"/>
      <c r="L46" s="256"/>
      <c r="M46" s="260" t="str">
        <f>IF(O$6="Met","",IF(OR(N$4="2016-2017",N$4="2015-2016",N$4="2014-2015",N$4="2013-2014",N$4="2012-2013"),"","2012-13 Total"))</f>
        <v>2012-13 Total</v>
      </c>
      <c r="N46" s="268">
        <f>IF(M46="","",'21. 12-13 Exc &amp; Adj'!C45)</f>
        <v>0</v>
      </c>
      <c r="O46" s="264"/>
      <c r="P46" s="256"/>
    </row>
    <row r="47" spans="1:16" x14ac:dyDescent="0.25">
      <c r="A47" s="392" t="str">
        <f>IF(C$6="Met","",IF(OR(B$4="2016-2017",B$4="2015-2016",B$4="2014-2015",B$4="2013-2014",B$4="2012-2013",B$4="2011-2012"),"","2011-12 Total"))</f>
        <v>2011-12 Total</v>
      </c>
      <c r="B47" s="271">
        <f>IF(A47="","",'20. 11-12 Exc &amp; Adj'!C45)</f>
        <v>0</v>
      </c>
      <c r="C47" s="264"/>
      <c r="D47" s="256"/>
      <c r="E47" s="391" t="str">
        <f>IF(G$6="Met","",IF(OR(F$4="2016-2017",F$4="2015-2016",F$4="2014-2015",F$4="2013-2014",F$4="2012-2013",F$4="2011-2012"),"","2011-12 Total"))</f>
        <v>2011-12 Total</v>
      </c>
      <c r="F47" s="271">
        <f>IF(E47="","",'20. 11-12 Exc &amp; Adj'!C45)</f>
        <v>0</v>
      </c>
      <c r="G47" s="264"/>
      <c r="H47" s="256"/>
      <c r="I47" s="267" t="str">
        <f>IF(K$6="Met","",IF(OR(J$4="2016-2017",J$4="2015-2016",J$4="2014-2015",J$4="2013-2014",J$4="2012-2013",J$4="2011-2012"),"","2011-12 Total"))</f>
        <v>2011-12 Total</v>
      </c>
      <c r="J47" s="268">
        <f>IF(I47="","",'20. 11-12 Exc &amp; Adj'!C45)</f>
        <v>0</v>
      </c>
      <c r="K47" s="264"/>
      <c r="L47" s="256"/>
      <c r="M47" s="267" t="str">
        <f>IF(O$6="Met","",IF(OR(N$4="2016-2017",N$4="2015-2016",N$4="2014-2015",N$4="2013-2014",N$4="2012-2013",N$4="2011-2012"),"","2011-12 Total"))</f>
        <v>2011-12 Total</v>
      </c>
      <c r="N47" s="268">
        <f>IF(M47="","",'20. 11-12 Exc &amp; Adj'!C45)</f>
        <v>0</v>
      </c>
      <c r="O47" s="264"/>
      <c r="P47" s="256"/>
    </row>
    <row r="48" spans="1:16" x14ac:dyDescent="0.25">
      <c r="A48" s="488" t="s">
        <v>219</v>
      </c>
      <c r="B48" s="489"/>
      <c r="C48" s="264"/>
      <c r="D48" s="256"/>
      <c r="E48" s="488" t="s">
        <v>219</v>
      </c>
      <c r="F48" s="489"/>
      <c r="G48" s="264"/>
      <c r="H48" s="256"/>
      <c r="I48" s="494" t="s">
        <v>219</v>
      </c>
      <c r="J48" s="495"/>
      <c r="K48" s="264"/>
      <c r="L48" s="256"/>
      <c r="M48" s="494" t="s">
        <v>219</v>
      </c>
      <c r="N48" s="495"/>
      <c r="O48" s="264"/>
      <c r="P48" s="256"/>
    </row>
    <row r="49" spans="1:16" x14ac:dyDescent="0.25">
      <c r="A49" s="250" t="s">
        <v>42</v>
      </c>
      <c r="B49" s="263"/>
      <c r="C49" s="264"/>
      <c r="D49" s="256"/>
      <c r="E49" s="250" t="s">
        <v>42</v>
      </c>
      <c r="F49" s="263"/>
      <c r="G49" s="264"/>
      <c r="H49" s="256"/>
      <c r="I49" s="250" t="s">
        <v>42</v>
      </c>
      <c r="J49" s="263"/>
      <c r="K49" s="264"/>
      <c r="L49" s="256"/>
      <c r="M49" s="250" t="s">
        <v>42</v>
      </c>
      <c r="N49" s="263"/>
      <c r="O49" s="264"/>
      <c r="P49" s="256"/>
    </row>
    <row r="50" spans="1:16" x14ac:dyDescent="0.25">
      <c r="A50" s="250" t="s">
        <v>43</v>
      </c>
      <c r="B50" s="263"/>
      <c r="C50" s="264"/>
      <c r="D50" s="256"/>
      <c r="E50" s="250" t="s">
        <v>43</v>
      </c>
      <c r="F50" s="263"/>
      <c r="G50" s="264"/>
      <c r="H50" s="256"/>
      <c r="I50" s="250" t="s">
        <v>43</v>
      </c>
      <c r="J50" s="263"/>
      <c r="K50" s="264"/>
      <c r="L50" s="256"/>
      <c r="M50" s="250" t="s">
        <v>43</v>
      </c>
      <c r="N50" s="263"/>
      <c r="O50" s="264"/>
      <c r="P50" s="256"/>
    </row>
    <row r="51" spans="1:16" x14ac:dyDescent="0.25">
      <c r="A51" s="281" t="s">
        <v>74</v>
      </c>
      <c r="B51" s="255" t="s">
        <v>75</v>
      </c>
      <c r="C51" s="264"/>
      <c r="D51" s="256"/>
      <c r="E51" s="281" t="s">
        <v>74</v>
      </c>
      <c r="F51" s="255" t="s">
        <v>75</v>
      </c>
      <c r="G51" s="264"/>
      <c r="H51" s="256"/>
      <c r="I51" s="254" t="s">
        <v>74</v>
      </c>
      <c r="J51" s="255" t="s">
        <v>75</v>
      </c>
      <c r="K51" s="264"/>
      <c r="L51" s="256"/>
      <c r="M51" s="254" t="s">
        <v>74</v>
      </c>
      <c r="N51" s="255" t="s">
        <v>75</v>
      </c>
      <c r="O51" s="264"/>
      <c r="P51" s="256"/>
    </row>
    <row r="52" spans="1:16" x14ac:dyDescent="0.25">
      <c r="A52" s="388" t="str">
        <f>IF(C$6="Met","","2017-18 Total")</f>
        <v>2017-18 Total</v>
      </c>
      <c r="B52" s="268">
        <f>IF(A52="","",IF($B$1="Eligibility",'13. 17-18 Exc &amp; Adj'!$B$56,IF($B$1="Compliance",'13. 17-18 Exc &amp; Adj'!$I$56)))</f>
        <v>0</v>
      </c>
      <c r="C52" s="264"/>
      <c r="D52" s="256"/>
      <c r="E52" s="388" t="str">
        <f>IF(G$6="Met","","2017-18 Total")</f>
        <v>2017-18 Total</v>
      </c>
      <c r="F52" s="270">
        <f>IF(E52="","",IF($B$1="Eligibility",'13. 17-18 Exc &amp; Adj'!$B$56,IF($B$1="Compliance",'13. 17-18 Exc &amp; Adj'!$I$56)))</f>
        <v>0</v>
      </c>
      <c r="G52" s="264"/>
      <c r="H52" s="256"/>
      <c r="I52" s="257" t="str">
        <f>IF(K$6="Met","","2017-18 Total")</f>
        <v>2017-18 Total</v>
      </c>
      <c r="J52" s="270">
        <f>IF(I52="","",IF($B$1="Eligibility",'13. 17-18 Exc &amp; Adj'!$B$56,IF($B$1="Compliance",'13. 17-18 Exc &amp; Adj'!$I$56)))</f>
        <v>0</v>
      </c>
      <c r="K52" s="264"/>
      <c r="L52" s="256"/>
      <c r="M52" s="257" t="str">
        <f>IF(O$6="Met","","2017-18 Total")</f>
        <v>2017-18 Total</v>
      </c>
      <c r="N52" s="270">
        <f>IF(M52="","",IF($B$1="Eligibility",'13. 17-18 Exc &amp; Adj'!$B$56,IF($B$1="Compliance",'13. 17-18 Exc &amp; Adj'!$I$56)))</f>
        <v>0</v>
      </c>
      <c r="O52" s="264"/>
      <c r="P52" s="256"/>
    </row>
    <row r="53" spans="1:16" x14ac:dyDescent="0.25">
      <c r="A53" s="388" t="str">
        <f>IF(C$6="Met","",IF(B$4="2016-2017","","2016-17 Total"))</f>
        <v>2016-17 Total</v>
      </c>
      <c r="B53" s="268">
        <f>IF(A53="","",IF($B$1="Eligibility",'10. 16-17 Exc &amp; Adj'!$B$56,IF($B$1="Compliance",'10. 16-17 Exc &amp; Adj'!$I$56)))</f>
        <v>0</v>
      </c>
      <c r="C53" s="264"/>
      <c r="D53" s="256"/>
      <c r="E53" s="388" t="str">
        <f>IF(G$6="Met","",IF(F$4="2016-2017","","2016-17 Total"))</f>
        <v>2016-17 Total</v>
      </c>
      <c r="F53" s="270">
        <f>IF(E53="","",IF($B$1="Eligibility",'10. 16-17 Exc &amp; Adj'!$B$56,IF($B$1="Compliance",'10. 16-17 Exc &amp; Adj'!$I$56)))</f>
        <v>0</v>
      </c>
      <c r="G53" s="264"/>
      <c r="H53" s="256"/>
      <c r="I53" s="257" t="str">
        <f>IF(K$6="Met","",IF(J$4="2016-2017","","2016-17 Total"))</f>
        <v>2016-17 Total</v>
      </c>
      <c r="J53" s="270">
        <f>IF(I53="","",IF($B$1="Eligibility",'10. 16-17 Exc &amp; Adj'!$B$56,IF($B$1="Compliance",'10. 16-17 Exc &amp; Adj'!$I$56)))</f>
        <v>0</v>
      </c>
      <c r="K53" s="264"/>
      <c r="L53" s="256"/>
      <c r="M53" s="257" t="str">
        <f>IF(O$6="Met","",IF(N$4="2016-2017","","2016-17 Total"))</f>
        <v>2016-17 Total</v>
      </c>
      <c r="N53" s="270">
        <f>IF(M53="","",IF($B$1="Eligibility",'10. 16-17 Exc &amp; Adj'!$B$56,IF($B$1="Compliance",'10. 16-17 Exc &amp; Adj'!$I$56)))</f>
        <v>0</v>
      </c>
      <c r="O53" s="264"/>
      <c r="P53" s="256"/>
    </row>
    <row r="54" spans="1:16" x14ac:dyDescent="0.25">
      <c r="A54" s="388" t="str">
        <f>IF(C$6="Met","",IF(OR(B$4="2016-2017",B$4="2015-2016"),"","2015-16 Total"))</f>
        <v>2015-16 Total</v>
      </c>
      <c r="B54" s="268">
        <f>IF(A54="","",'7. 15-16 Exc &amp; Adj'!$I$56)</f>
        <v>0</v>
      </c>
      <c r="C54" s="264"/>
      <c r="D54" s="256"/>
      <c r="E54" s="388" t="str">
        <f>IF(G$6="Met","",IF(OR(F$4="2016-2017",F$4="2015-2016"),"","2015-16 Total"))</f>
        <v>2015-16 Total</v>
      </c>
      <c r="F54" s="270">
        <f>IF(E54="","",'7. 15-16 Exc &amp; Adj'!$I$56)</f>
        <v>0</v>
      </c>
      <c r="G54" s="264"/>
      <c r="H54" s="256"/>
      <c r="I54" s="257" t="str">
        <f>IF(K$6="Met","",IF(OR(J$4="2016-2017",J$4="2015-2016"),"","2015-16 Total"))</f>
        <v>2015-16 Total</v>
      </c>
      <c r="J54" s="270">
        <f>IF(I54="","",'7. 15-16 Exc &amp; Adj'!$I$56)</f>
        <v>0</v>
      </c>
      <c r="K54" s="264"/>
      <c r="L54" s="256"/>
      <c r="M54" s="257" t="str">
        <f>IF(O$6="Met","",IF(OR(N$4="2016-2017",N$4="2015-2016"),"","2015-16 Total"))</f>
        <v>2015-16 Total</v>
      </c>
      <c r="N54" s="270">
        <f>IF(M54="","",'7. 15-16 Exc &amp; Adj'!$I$56)</f>
        <v>0</v>
      </c>
      <c r="O54" s="264"/>
      <c r="P54" s="256"/>
    </row>
    <row r="55" spans="1:16" x14ac:dyDescent="0.25">
      <c r="A55" s="388" t="str">
        <f>IF(C$6="Met","",IF(OR(B$4="2016-2017",B$4="2015-2016",B$4="2014-2015"),"","2014-15 Total"))</f>
        <v>2014-15 Total</v>
      </c>
      <c r="B55" s="268">
        <f>IF(A55="","",'23. 14-15 Exc &amp; Adj'!B55)</f>
        <v>0</v>
      </c>
      <c r="C55" s="264"/>
      <c r="D55" s="256"/>
      <c r="E55" s="388" t="str">
        <f>IF(G$6="Met","",IF(OR(F$4="2016-2017",F$4="2015-2016",F$4="2014-2015"),"","2014-15 Total"))</f>
        <v>2014-15 Total</v>
      </c>
      <c r="F55" s="270">
        <f>IF(E55="","",'23. 14-15 Exc &amp; Adj'!B55)</f>
        <v>0</v>
      </c>
      <c r="G55" s="264"/>
      <c r="H55" s="256"/>
      <c r="I55" s="257" t="str">
        <f>IF(K$6="Met","",IF(OR(J$4="2016-2017",J$4="2015-2016",J$4="2014-2015"),"","2014-15 Total"))</f>
        <v>2014-15 Total</v>
      </c>
      <c r="J55" s="270">
        <f>IF(I55="","",'23. 14-15 Exc &amp; Adj'!B55)</f>
        <v>0</v>
      </c>
      <c r="K55" s="264"/>
      <c r="L55" s="256"/>
      <c r="M55" s="257" t="str">
        <f>IF(O$6="Met","",IF(OR(N$4="2016-2017",N$4="2015-2016",N$4="2014-2015"),"","2014-15 Total"))</f>
        <v>2014-15 Total</v>
      </c>
      <c r="N55" s="270">
        <f>IF(M55="","",'23. 14-15 Exc &amp; Adj'!B55)</f>
        <v>0</v>
      </c>
      <c r="O55" s="264"/>
      <c r="P55" s="256"/>
    </row>
    <row r="56" spans="1:16" x14ac:dyDescent="0.25">
      <c r="A56" s="288" t="str">
        <f>IF(C$6="Met","",IF(OR(B$4="2016-2017",B$4="2015-2016",B$4="2014-2015",B$4="2013-2014"),"","2013-14 Total"))</f>
        <v>2013-14 Total</v>
      </c>
      <c r="B56" s="268">
        <f>IF(A56="","",'22. 13-14 Exc &amp; Adj'!B55)</f>
        <v>0</v>
      </c>
      <c r="C56" s="264"/>
      <c r="D56" s="256"/>
      <c r="E56" s="288" t="str">
        <f>IF(G$6="Met","",IF(OR(F$4="2016-2017",F$4="2015-2016",F$4="2014-2015",F$4="2013-2014"),"","2013-14 Total"))</f>
        <v>2013-14 Total</v>
      </c>
      <c r="F56" s="270">
        <f>IF(E56="","",'22. 13-14 Exc &amp; Adj'!B55)</f>
        <v>0</v>
      </c>
      <c r="G56" s="264"/>
      <c r="H56" s="256"/>
      <c r="I56" s="259" t="str">
        <f>IF(K$6="Met","",IF(OR(J$4="2016-2017",J$4="2015-2016",J$4="2014-2015",J$4="2013-2014"),"","2013-14 Total"))</f>
        <v>2013-14 Total</v>
      </c>
      <c r="J56" s="270">
        <f>IF(I56="","",'22. 13-14 Exc &amp; Adj'!B55)</f>
        <v>0</v>
      </c>
      <c r="K56" s="264"/>
      <c r="L56" s="256"/>
      <c r="M56" s="259" t="str">
        <f>IF(O$6="Met","",IF(OR(N$4="2016-2017",N$4="2015-2016",N$4="2014-2015",N$4="2013-2014"),"","2013-14 Total"))</f>
        <v>2013-14 Total</v>
      </c>
      <c r="N56" s="270">
        <f>IF(M56="","",'22. 13-14 Exc &amp; Adj'!B55)</f>
        <v>0</v>
      </c>
      <c r="O56" s="264"/>
      <c r="P56" s="256"/>
    </row>
    <row r="57" spans="1:16" x14ac:dyDescent="0.25">
      <c r="A57" s="288" t="str">
        <f>IF(C$6="Met","",IF(OR(B$4="2016-2017",B$4="2015-2016",B$4="2014-2015",B$4="2013-2014",B$4="2012-2013"),"","2012-13 Total"))</f>
        <v>2012-13 Total</v>
      </c>
      <c r="B57" s="268">
        <f>IF(A57="","",'21. 12-13 Exc &amp; Adj'!B55)</f>
        <v>0</v>
      </c>
      <c r="C57" s="264"/>
      <c r="D57" s="256"/>
      <c r="E57" s="389" t="str">
        <f>IF(G$6="Met","",IF(OR(F$4="2016-2017",F$4="2015-2016",F$4="2014-2015",F$4="2013-2014",F$4="2012-2013"),"","2012-13 Total"))</f>
        <v>2012-13 Total</v>
      </c>
      <c r="F57" s="271">
        <f>IF(E57="","",'21. 12-13 Exc &amp; Adj'!B55)</f>
        <v>0</v>
      </c>
      <c r="G57" s="264"/>
      <c r="H57" s="256"/>
      <c r="I57" s="260" t="str">
        <f>IF(K$6="Met","",IF(OR(J$4="2016-2017",J$4="2015-2016",J$4="2014-2015",J$4="2013-2014",J$4="2012-2013"),"","2012-13 Total"))</f>
        <v>2012-13 Total</v>
      </c>
      <c r="J57" s="271">
        <f>IF(I57="","",'21. 12-13 Exc &amp; Adj'!B55)</f>
        <v>0</v>
      </c>
      <c r="K57" s="264"/>
      <c r="L57" s="256"/>
      <c r="M57" s="260" t="str">
        <f>IF(O$6="Met","",IF(OR(N$4="2016-2017",N$4="2015-2016",N$4="2014-2015",N$4="2013-2014",N$4="2012-2013"),"","2012-13 Total"))</f>
        <v>2012-13 Total</v>
      </c>
      <c r="N57" s="271">
        <f>IF(M57="","",'21. 12-13 Exc &amp; Adj'!B55)</f>
        <v>0</v>
      </c>
      <c r="O57" s="264"/>
      <c r="P57" s="256"/>
    </row>
    <row r="58" spans="1:16" x14ac:dyDescent="0.25">
      <c r="A58" s="283" t="str">
        <f>IF(C$6="Met","",IF(OR(B$4="2016-2017",B$4="2015-2016",B$4="2014-2015",B$4="2013-2014",B$4="2012-2013",B$4="2011-2012"),"","2011-12 Total"))</f>
        <v>2011-12 Total</v>
      </c>
      <c r="B58" s="268">
        <f>IF(A58="","",'20. 11-12 Exc &amp; Adj'!B55)</f>
        <v>0</v>
      </c>
      <c r="C58" s="264"/>
      <c r="D58" s="256"/>
      <c r="E58" s="283" t="str">
        <f>IF(G$6="Met","",IF(OR(F$4="2016-2017",F$4="2015-2016",F$4="2014-2015",F$4="2013-2014",F$4="2012-2013",F$4="2011-2012"),"","2011-12 Total"))</f>
        <v>2011-12 Total</v>
      </c>
      <c r="F58" s="268">
        <f>IF(E58="","",'20. 11-12 Exc &amp; Adj'!B55)</f>
        <v>0</v>
      </c>
      <c r="G58" s="264"/>
      <c r="H58" s="256"/>
      <c r="I58" s="391" t="str">
        <f>IF(K$6="Met","",IF(OR(J$4="2016-2017",J$4="2015-2016",J$4="2014-2015",J$4="2013-2014",J$4="2012-2013",J$4="2011-2012"),"","2011-12 Total"))</f>
        <v>2011-12 Total</v>
      </c>
      <c r="J58" s="271">
        <f>IF(I58="","",'20. 11-12 Exc &amp; Adj'!B55)</f>
        <v>0</v>
      </c>
      <c r="K58" s="264"/>
      <c r="L58" s="256"/>
      <c r="M58" s="391" t="str">
        <f>IF(O$6="Met","",IF(OR(N$4="2016-2017",N$4="2015-2016",N$4="2014-2015",N$4="2013-2014",N$4="2012-2013",N$4="2011-2012"),"","2011-12 Total"))</f>
        <v>2011-12 Total</v>
      </c>
      <c r="N58" s="271">
        <f>IF(M58="","",'20. 11-12 Exc &amp; Adj'!B55)</f>
        <v>0</v>
      </c>
      <c r="O58" s="264"/>
      <c r="P58" s="256"/>
    </row>
    <row r="59" spans="1:16" x14ac:dyDescent="0.25">
      <c r="A59" s="494" t="s">
        <v>219</v>
      </c>
      <c r="B59" s="495"/>
      <c r="C59" s="264"/>
      <c r="D59" s="256"/>
      <c r="E59" s="494" t="s">
        <v>219</v>
      </c>
      <c r="F59" s="495"/>
      <c r="G59" s="264"/>
      <c r="H59" s="256"/>
      <c r="I59" s="488" t="s">
        <v>219</v>
      </c>
      <c r="J59" s="489"/>
      <c r="K59" s="264"/>
      <c r="L59" s="256"/>
      <c r="M59" s="488" t="s">
        <v>219</v>
      </c>
      <c r="N59" s="489"/>
      <c r="O59" s="264"/>
      <c r="P59" s="256"/>
    </row>
    <row r="60" spans="1:16" x14ac:dyDescent="0.25">
      <c r="A60" s="250" t="s">
        <v>44</v>
      </c>
      <c r="B60" s="263"/>
      <c r="C60" s="264"/>
      <c r="D60" s="256"/>
      <c r="E60" s="250" t="s">
        <v>44</v>
      </c>
      <c r="F60" s="263"/>
      <c r="G60" s="264"/>
      <c r="H60" s="256"/>
      <c r="I60" s="250" t="s">
        <v>44</v>
      </c>
      <c r="J60" s="263"/>
      <c r="K60" s="264"/>
      <c r="L60" s="256"/>
      <c r="M60" s="250" t="s">
        <v>44</v>
      </c>
      <c r="N60" s="263"/>
      <c r="O60" s="264"/>
      <c r="P60" s="256"/>
    </row>
    <row r="61" spans="1:16" x14ac:dyDescent="0.25">
      <c r="A61" s="250" t="s">
        <v>222</v>
      </c>
      <c r="B61" s="263"/>
      <c r="C61" s="264"/>
      <c r="D61" s="256"/>
      <c r="E61" s="250" t="s">
        <v>222</v>
      </c>
      <c r="F61" s="263"/>
      <c r="G61" s="264"/>
      <c r="H61" s="256"/>
      <c r="I61" s="250" t="s">
        <v>222</v>
      </c>
      <c r="J61" s="263"/>
      <c r="K61" s="264"/>
      <c r="L61" s="256"/>
      <c r="M61" s="250" t="s">
        <v>222</v>
      </c>
      <c r="N61" s="263"/>
      <c r="O61" s="264"/>
      <c r="P61" s="256"/>
    </row>
    <row r="62" spans="1:16" x14ac:dyDescent="0.25">
      <c r="A62" s="281" t="s">
        <v>74</v>
      </c>
      <c r="B62" s="255" t="s">
        <v>75</v>
      </c>
      <c r="C62" s="264"/>
      <c r="E62" s="281" t="s">
        <v>74</v>
      </c>
      <c r="F62" s="255" t="s">
        <v>75</v>
      </c>
      <c r="G62" s="264"/>
      <c r="I62" s="254" t="s">
        <v>74</v>
      </c>
      <c r="J62" s="255" t="s">
        <v>75</v>
      </c>
      <c r="K62" s="264"/>
      <c r="L62" s="219"/>
      <c r="M62" s="254" t="s">
        <v>74</v>
      </c>
      <c r="N62" s="255" t="s">
        <v>75</v>
      </c>
      <c r="O62" s="264"/>
      <c r="P62" s="219"/>
    </row>
    <row r="63" spans="1:16" x14ac:dyDescent="0.25">
      <c r="A63" s="283" t="str">
        <f>IF(C$6="Met","","2017-18 Total")</f>
        <v>2017-18 Total</v>
      </c>
      <c r="B63" s="268">
        <f>IF(A63="","",IF($B$1="Eligibility",'13. 17-18 Exc &amp; Adj'!$B$66,IF($B$1="Compliance",'13. 17-18 Exc &amp; Adj'!$I$66)))</f>
        <v>0</v>
      </c>
      <c r="C63" s="478"/>
      <c r="D63" s="272"/>
      <c r="E63" s="283" t="str">
        <f>IF(G$6="Met","","2017-18 Total")</f>
        <v>2017-18 Total</v>
      </c>
      <c r="F63" s="270">
        <f>IF(E63="","",IF($B$1="Eligibility",'13. 17-18 Exc &amp; Adj'!$B$66,IF($B$1="Compliance",'13. 17-18 Exc &amp; Adj'!$I$66)))</f>
        <v>0</v>
      </c>
      <c r="G63" s="264"/>
      <c r="H63" s="272"/>
      <c r="I63" s="267" t="str">
        <f>IF(K$6="Met","","2017-18 Total")</f>
        <v>2017-18 Total</v>
      </c>
      <c r="J63" s="270">
        <f>IF(I63="","",IF($B$1="Eligibility",'13. 17-18 Exc &amp; Adj'!$B$66,IF($B$1="Compliance",'13. 17-18 Exc &amp; Adj'!$I$66)))</f>
        <v>0</v>
      </c>
      <c r="K63" s="264"/>
      <c r="L63" s="272"/>
      <c r="M63" s="267" t="str">
        <f>IF(O$6="Met","","2017-18 Total")</f>
        <v>2017-18 Total</v>
      </c>
      <c r="N63" s="270">
        <f>IF(M63="","",IF($B$1="Eligibility",'13. 17-18 Exc &amp; Adj'!$B$66,IF($B$1="Compliance",'13. 17-18 Exc &amp; Adj'!$I$66)))</f>
        <v>0</v>
      </c>
      <c r="O63" s="264"/>
      <c r="P63" s="272"/>
    </row>
    <row r="64" spans="1:16" x14ac:dyDescent="0.25">
      <c r="A64" s="283" t="str">
        <f>IF($C$6="Met","","2016-17 Total")</f>
        <v>2016-17 Total</v>
      </c>
      <c r="B64" s="268">
        <f>IF(A64="","",IF($B$1="Eligibility",'10. 16-17 Exc &amp; Adj'!$B$66,IF($B$1="Compliance",'10. 16-17 Exc &amp; Adj'!$I$66)))</f>
        <v>0</v>
      </c>
      <c r="C64" s="264"/>
      <c r="D64" s="273"/>
      <c r="E64" s="283" t="str">
        <f>IF(G$6="Met","",IF(F$4="2016-2017","","2016-17 Total"))</f>
        <v>2016-17 Total</v>
      </c>
      <c r="F64" s="270">
        <f>IF(E64="","",IF($B$1="Eligibility",'10. 16-17 Exc &amp; Adj'!$B$66,IF($B$1="Compliance",'10. 16-17 Exc &amp; Adj'!$I$66)))</f>
        <v>0</v>
      </c>
      <c r="G64" s="264"/>
      <c r="H64" s="273"/>
      <c r="I64" s="267" t="str">
        <f>IF(K$6="Met","",IF(J$4="2016-2017","","2016-17 Total"))</f>
        <v>2016-17 Total</v>
      </c>
      <c r="J64" s="270">
        <f>IF(I64="","",IF($B$1="Eligibility",'10. 16-17 Exc &amp; Adj'!$B$66,IF($B$1="Compliance",'10. 16-17 Exc &amp; Adj'!$I$66)))</f>
        <v>0</v>
      </c>
      <c r="K64" s="264"/>
      <c r="L64" s="273"/>
      <c r="M64" s="267" t="str">
        <f>IF(O$6="Met","",IF(N$4="2016-2017","","2016-17 Total"))</f>
        <v>2016-17 Total</v>
      </c>
      <c r="N64" s="270">
        <f>IF(M64="","",IF($B$1="Eligibility",'10. 16-17 Exc &amp; Adj'!$B$66,IF($B$1="Compliance",'10. 16-17 Exc &amp; Adj'!$I$66)))</f>
        <v>0</v>
      </c>
      <c r="O64" s="264"/>
      <c r="P64" s="273"/>
    </row>
    <row r="65" spans="1:16" x14ac:dyDescent="0.25">
      <c r="A65" s="388" t="str">
        <f>IF(C$6="Met","",IF(OR(B$4="2016-2017",B$4="2015-2016"),"","2015-16 Total"))</f>
        <v>2015-16 Total</v>
      </c>
      <c r="B65" s="268">
        <f>IF(A65="","",'7. 15-16 Exc &amp; Adj'!$I$66)</f>
        <v>0</v>
      </c>
      <c r="C65" s="264"/>
      <c r="D65" s="220"/>
      <c r="E65" s="388" t="str">
        <f>IF(G$6="Met","",IF(OR(F$4="2016-2017",F$4="2015-2016"),"","2015-16 Total"))</f>
        <v>2015-16 Total</v>
      </c>
      <c r="F65" s="270">
        <f>IF(E65="","",IF($B$1="Eligibility",'7. 15-16 Exc &amp; Adj'!$B$66,IF($B$1="Compliance",'7. 15-16 Exc &amp; Adj'!$I$66)))</f>
        <v>0</v>
      </c>
      <c r="G65" s="264"/>
      <c r="H65" s="220"/>
      <c r="I65" s="257" t="str">
        <f>IF(K$6="Met","",IF(OR(J$4="2016-2017",J$4="2015-2016"),"","2015-16 Total"))</f>
        <v>2015-16 Total</v>
      </c>
      <c r="J65" s="270">
        <f>IF(I65="","",'7. 15-16 Exc &amp; Adj'!$I$66)</f>
        <v>0</v>
      </c>
      <c r="K65" s="264"/>
      <c r="M65" s="257" t="str">
        <f>IF(O$6="Met","",IF(OR(N$4="2016-2017",N$4="2015-2016"),"","2015-16 Total"))</f>
        <v>2015-16 Total</v>
      </c>
      <c r="N65" s="270">
        <f>IF(M65="","",'7. 15-16 Exc &amp; Adj'!$I$66)</f>
        <v>0</v>
      </c>
      <c r="O65" s="264"/>
    </row>
    <row r="66" spans="1:16" x14ac:dyDescent="0.25">
      <c r="A66" s="388" t="str">
        <f>IF(C$6="Met","",IF(OR(B$4="2016-2017",B$4="2015-2016",B$4="2014-2015"),"","2014-15 Total"))</f>
        <v>2014-15 Total</v>
      </c>
      <c r="B66" s="268">
        <f>IF(A66="","",'23. 14-15 Exc &amp; Adj'!B65)</f>
        <v>0</v>
      </c>
      <c r="C66" s="264"/>
      <c r="E66" s="388" t="str">
        <f>IF(G$6="Met","",IF(OR(F$4="2016-2017",F$4="2015-2016",F$4="2014-2015"),"","2014-15 Total"))</f>
        <v>2014-15 Total</v>
      </c>
      <c r="F66" s="270">
        <f>IF(E66="","",'23. 14-15 Exc &amp; Adj'!B65)</f>
        <v>0</v>
      </c>
      <c r="G66" s="264"/>
      <c r="I66" s="257" t="str">
        <f>IF(K$6="Met","",IF(OR(J$4="2016-2017",J$4="2015-2016",J$4="2014-2015"),"","2014-15 Total"))</f>
        <v>2014-15 Total</v>
      </c>
      <c r="J66" s="270">
        <f>IF(I66="","",'23. 14-15 Exc &amp; Adj'!B65)</f>
        <v>0</v>
      </c>
      <c r="K66" s="264"/>
      <c r="M66" s="257" t="str">
        <f>IF(O$6="Met","",IF(OR(N$4="2016-2017",N$4="2015-2016",N$4="2014-2015"),"","2014-15 Total"))</f>
        <v>2014-15 Total</v>
      </c>
      <c r="N66" s="270">
        <f>IF(M66="","",'23. 14-15 Exc &amp; Adj'!B65)</f>
        <v>0</v>
      </c>
      <c r="O66" s="264"/>
      <c r="P66" s="219"/>
    </row>
    <row r="67" spans="1:16" x14ac:dyDescent="0.25">
      <c r="A67" s="288" t="str">
        <f>IF(C$6="Met","",IF(OR(B$4="2016-2017",B$4="2015-2016",B$4="2014-2015",B$4="2013-2014"),"","2013-14 Total"))</f>
        <v>2013-14 Total</v>
      </c>
      <c r="B67" s="268">
        <f>IF(A67="","",'22. 13-14 Exc &amp; Adj'!B65)</f>
        <v>0</v>
      </c>
      <c r="C67" s="264"/>
      <c r="E67" s="288" t="str">
        <f>IF(G$6="Met","",IF(OR(F$4="2016-2017",F$4="2015-2016",F$4="2014-2015",F$4="2013-2014"),"","2013-14 Total"))</f>
        <v>2013-14 Total</v>
      </c>
      <c r="F67" s="270">
        <f>IF(E67="","",'22. 13-14 Exc &amp; Adj'!B65)</f>
        <v>0</v>
      </c>
      <c r="G67" s="264"/>
      <c r="I67" s="259" t="str">
        <f>IF(K$6="Met","",IF(OR(J$4="2016-2017",J$4="2015-2016",J$4="2014-2015",J$4="2013-2014"),"","2013-14 Total"))</f>
        <v>2013-14 Total</v>
      </c>
      <c r="J67" s="270">
        <f>IF(I67="","",'22. 13-14 Exc &amp; Adj'!B65)</f>
        <v>0</v>
      </c>
      <c r="K67" s="264"/>
      <c r="M67" s="259" t="str">
        <f>IF(O$6="Met","",IF(OR(N$4="2016-2017",N$4="2015-2016",N$4="2014-2015",N$4="2013-2014"),"","2013-14 Total"))</f>
        <v>2013-14 Total</v>
      </c>
      <c r="N67" s="270">
        <f>IF(M67="","",'22. 13-14 Exc &amp; Adj'!B65)</f>
        <v>0</v>
      </c>
      <c r="O67" s="264"/>
      <c r="P67" s="219"/>
    </row>
    <row r="68" spans="1:16" x14ac:dyDescent="0.25">
      <c r="A68" s="288" t="str">
        <f>IF(C$6="Met","",IF(OR(B$4="2016-2017",B$4="2015-2016",B$4="2014-2015",B$4="2013-2014",B$4="2012-2013"),"","2012-13 Total"))</f>
        <v>2012-13 Total</v>
      </c>
      <c r="B68" s="268">
        <f>IF(A68="","",'21. 12-13 Exc &amp; Adj'!B65)</f>
        <v>0</v>
      </c>
      <c r="C68" s="264"/>
      <c r="E68" s="389" t="str">
        <f>IF(G$6="Met","",IF(OR(F$4="2016-2017",F$4="2015-2016",F$4="2014-2015",F$4="2013-2014",F$4="2012-2013"),"","2012-13 Total"))</f>
        <v>2012-13 Total</v>
      </c>
      <c r="F68" s="271">
        <f>IF(E68="","",'21. 12-13 Exc &amp; Adj'!B65)</f>
        <v>0</v>
      </c>
      <c r="G68" s="264"/>
      <c r="I68" s="260" t="str">
        <f>IF(K$6="Met","",IF(OR(J$4="2016-2017",J$4="2015-2016",J$4="2014-2015",J$4="2013-2014",J$4="2012-2013"),"","2012-13 Total"))</f>
        <v>2012-13 Total</v>
      </c>
      <c r="J68" s="271">
        <f>IF(I68="","",'21. 12-13 Exc &amp; Adj'!B65)</f>
        <v>0</v>
      </c>
      <c r="K68" s="264"/>
      <c r="L68" s="219"/>
      <c r="M68" s="260" t="str">
        <f>IF(O$6="Met","",IF(OR(N$4="2016-2017",N$4="2015-2016",N$4="2014-2015",N$4="2013-2014",N$4="2012-2013"),"","2012-13 Total"))</f>
        <v>2012-13 Total</v>
      </c>
      <c r="N68" s="271">
        <f>IF(M68="","",'21. 12-13 Exc &amp; Adj'!B65)</f>
        <v>0</v>
      </c>
      <c r="O68" s="264"/>
      <c r="P68" s="219"/>
    </row>
    <row r="69" spans="1:16" x14ac:dyDescent="0.25">
      <c r="A69" s="283" t="str">
        <f>IF(C$6="Met","",IF(OR(B$4="2016-2017",B$4="2015-2016",B$4="2014-2015",B$4="2013-2014",B$4="2012-2013",B$4="2011-2012"),"","2011-12 Total"))</f>
        <v>2011-12 Total</v>
      </c>
      <c r="B69" s="268">
        <f>IF(A69="","",'20. 11-12 Exc &amp; Adj'!B65)</f>
        <v>0</v>
      </c>
      <c r="C69" s="264"/>
      <c r="E69" s="283" t="str">
        <f>IF(G$6="Met","",IF(OR(F$4="2016-2017",F$4="2015-2016",F$4="2014-2015",F$4="2013-2014",F$4="2012-2013",F$4="2011-2012"),"","2011-12 Total"))</f>
        <v>2011-12 Total</v>
      </c>
      <c r="F69" s="268">
        <f>IF(E69="","",'20. 11-12 Exc &amp; Adj'!B65)</f>
        <v>0</v>
      </c>
      <c r="G69" s="264"/>
      <c r="I69" s="391" t="str">
        <f>IF(K$6="Met","",IF(OR(J$4="2016-2017",J$4="2015-2016",J$4="2014-2015",J$4="2013-2014",J$4="2012-2013",J$4="2011-2012"),"","2011-12 Total"))</f>
        <v>2011-12 Total</v>
      </c>
      <c r="J69" s="271">
        <f>IF(I69="","",'20. 11-12 Exc &amp; Adj'!B65)</f>
        <v>0</v>
      </c>
      <c r="K69" s="264"/>
      <c r="L69" s="219"/>
      <c r="M69" s="391" t="str">
        <f>IF(O$6="Met","",IF(OR(N$4="2016-2017",N$4="2015-2016",N$4="2014-2015",N$4="2013-2014",N$4="2012-2013",N$4="2011-2012"),"","2011-12 Total"))</f>
        <v>2011-12 Total</v>
      </c>
      <c r="N69" s="271">
        <f>IF(M69="","",'20. 11-12 Exc &amp; Adj'!B65)</f>
        <v>0</v>
      </c>
      <c r="O69" s="264"/>
      <c r="P69" s="219"/>
    </row>
    <row r="70" spans="1:16" x14ac:dyDescent="0.25">
      <c r="A70" s="494" t="s">
        <v>219</v>
      </c>
      <c r="B70" s="495"/>
      <c r="C70" s="264"/>
      <c r="E70" s="390"/>
      <c r="F70" s="269"/>
      <c r="G70" s="264"/>
      <c r="I70" s="488" t="s">
        <v>219</v>
      </c>
      <c r="J70" s="489"/>
      <c r="K70" s="264"/>
      <c r="L70" s="219"/>
      <c r="M70" s="488" t="s">
        <v>219</v>
      </c>
      <c r="N70" s="489"/>
      <c r="O70" s="264"/>
      <c r="P70" s="219"/>
    </row>
    <row r="71" spans="1:16" ht="16.5" thickBot="1" x14ac:dyDescent="0.3">
      <c r="A71" s="274" t="s">
        <v>77</v>
      </c>
      <c r="B71" s="318">
        <f>IF(C6="Met","",SUM(B17:B23,B27:B33,B41:B47,B52:B58,B63:B69))</f>
        <v>0</v>
      </c>
      <c r="C71" s="276"/>
      <c r="E71" s="274" t="s">
        <v>77</v>
      </c>
      <c r="F71" s="318">
        <f>IF(G6="Met","",SUM(F17:F23,F27:F33,F41:F47,F52:F58,F63:F69))</f>
        <v>0</v>
      </c>
      <c r="G71" s="276"/>
      <c r="I71" s="277" t="s">
        <v>101</v>
      </c>
      <c r="J71" s="101">
        <f>IF(K6="Met","",IF('3. Getting Started'!B7="No",SUM(J17:J23,J41:J47,J52:J58,J63:J69),IF('3. Getting Started'!B7="Yes",SUM(J17:J23,J27:J33,J41:J47,J52:J58,J63:J69),0)))</f>
        <v>0</v>
      </c>
      <c r="K71" s="264"/>
      <c r="L71" s="219"/>
      <c r="M71" s="277" t="s">
        <v>101</v>
      </c>
      <c r="N71" s="101">
        <f>IF(O6="Met","",IF('3. Getting Started'!B7="No",SUM(N17:N23,N41:N47,N52:N58,N63:N69),IF('3. Getting Started'!B7="Yes",SUM(N17:N23,N27:N33,N41:N47,N52:N58,N63:N69),0)))</f>
        <v>0</v>
      </c>
      <c r="O71" s="264"/>
      <c r="P71" s="219"/>
    </row>
    <row r="72" spans="1:16" ht="16.5" thickBot="1" x14ac:dyDescent="0.3">
      <c r="A72" s="490" t="s">
        <v>219</v>
      </c>
      <c r="B72" s="490"/>
      <c r="C72" s="490"/>
      <c r="E72" s="490" t="s">
        <v>219</v>
      </c>
      <c r="F72" s="490"/>
      <c r="G72" s="490"/>
      <c r="I72" s="274" t="s">
        <v>100</v>
      </c>
      <c r="J72" s="319" t="str">
        <f>IF(J87=0,"",IF(K6="Met","",IF('3. Getting Started'!B7="No",((J71/J87)+SUM(J27:J33)),IF('3. Getting Started'!B7="Yes",(J71/J87)))))</f>
        <v/>
      </c>
      <c r="K72" s="276"/>
      <c r="L72" s="219"/>
      <c r="M72" s="274" t="s">
        <v>100</v>
      </c>
      <c r="N72" s="319" t="str">
        <f>IF(N87=0,"",IF(O6="Met","",IF('3. Getting Started'!B7="No",((N71/N87)+SUM(N27:N33)),IF('3. Getting Started'!B7="Yes",(N71/N87)))))</f>
        <v/>
      </c>
      <c r="O72" s="276"/>
      <c r="P72" s="219"/>
    </row>
    <row r="73" spans="1:16" ht="19.5" thickBot="1" x14ac:dyDescent="0.3">
      <c r="A73" s="183" t="s">
        <v>11</v>
      </c>
      <c r="B73" s="396"/>
      <c r="C73" s="280"/>
      <c r="E73" s="278" t="s">
        <v>11</v>
      </c>
      <c r="F73" s="279"/>
      <c r="G73" s="280"/>
      <c r="I73" s="490" t="s">
        <v>219</v>
      </c>
      <c r="J73" s="490"/>
      <c r="K73" s="490"/>
      <c r="L73" s="219"/>
      <c r="M73" s="490" t="s">
        <v>219</v>
      </c>
      <c r="N73" s="490"/>
      <c r="O73" s="490"/>
      <c r="P73" s="219"/>
    </row>
    <row r="74" spans="1:16" ht="18.75" x14ac:dyDescent="0.25">
      <c r="A74" s="254" t="s">
        <v>74</v>
      </c>
      <c r="B74" s="255" t="s">
        <v>75</v>
      </c>
      <c r="C74" s="320"/>
      <c r="E74" s="254" t="s">
        <v>74</v>
      </c>
      <c r="F74" s="255" t="s">
        <v>75</v>
      </c>
      <c r="G74" s="282"/>
      <c r="I74" s="278" t="s">
        <v>11</v>
      </c>
      <c r="J74" s="279"/>
      <c r="K74" s="280"/>
      <c r="L74" s="219"/>
      <c r="M74" s="278" t="s">
        <v>11</v>
      </c>
      <c r="N74" s="279"/>
      <c r="O74" s="280"/>
      <c r="P74" s="219"/>
    </row>
    <row r="75" spans="1:16" x14ac:dyDescent="0.25">
      <c r="A75" s="267" t="str">
        <f>IF(C$6="Met","","2017-18 Adjustment")</f>
        <v>2017-18 Adjustment</v>
      </c>
      <c r="B75" s="270">
        <f>IF(A75="","",IF($B$1="Eligibility",'13. 17-18 Exc &amp; Adj'!$B$70,IF($B$1="Compliance",'13. 17-18 Exc &amp; Adj'!$I$70)))</f>
        <v>0</v>
      </c>
      <c r="C75" s="320"/>
      <c r="E75" s="267" t="str">
        <f>IF(G$6="Met","","2017-18 Adjustment")</f>
        <v>2017-18 Adjustment</v>
      </c>
      <c r="F75" s="270">
        <f>IF(E75="","",IF($B$1="Eligibility",'13. 17-18 Exc &amp; Adj'!$B$70,IF($B$1="Compliance",'13. 17-18 Exc &amp; Adj'!$I$70)))</f>
        <v>0</v>
      </c>
      <c r="G75" s="320"/>
      <c r="I75" s="254" t="s">
        <v>74</v>
      </c>
      <c r="J75" s="255" t="s">
        <v>75</v>
      </c>
      <c r="K75" s="282"/>
      <c r="L75" s="219"/>
      <c r="M75" s="281" t="s">
        <v>74</v>
      </c>
      <c r="N75" s="255" t="s">
        <v>75</v>
      </c>
      <c r="O75" s="282"/>
      <c r="P75" s="219"/>
    </row>
    <row r="76" spans="1:16" x14ac:dyDescent="0.25">
      <c r="A76" s="267" t="str">
        <f>IF(C$6="Met","","2016-17 Adjustment")</f>
        <v>2016-17 Adjustment</v>
      </c>
      <c r="B76" s="270">
        <f>IF(A76="","",IF($B$1="Eligibility",'10. 16-17 Exc &amp; Adj'!$B$70,IF($B$1="Compliance",'10. 16-17 Exc &amp; Adj'!$I$70)))</f>
        <v>0</v>
      </c>
      <c r="C76" s="284"/>
      <c r="E76" s="267" t="str">
        <f>IF(G$6="Met","","2016-17 Adjustment")</f>
        <v>2016-17 Adjustment</v>
      </c>
      <c r="F76" s="270">
        <f>IF(E76="","",IF($B$1="Eligibility",'10. 16-17 Exc &amp; Adj'!$B$70,IF($B$1="Compliance",'10. 16-17 Exc &amp; Adj'!$I$70)))</f>
        <v>0</v>
      </c>
      <c r="G76" s="284"/>
      <c r="I76" s="267" t="str">
        <f>IF(K$6="Met","","2017-18 Adjustment")</f>
        <v>2017-18 Adjustment</v>
      </c>
      <c r="J76" s="270">
        <f>IF(I76="","",IF($B$1="Eligibility",'13. 17-18 Exc &amp; Adj'!$B$70,IF($B$1="Compliance",'13. 17-18 Exc &amp; Adj'!$I$70)))</f>
        <v>0</v>
      </c>
      <c r="K76" s="320"/>
      <c r="L76" s="219"/>
      <c r="M76" s="267" t="str">
        <f>IF(O$6="Met","","2017-18 Adjustment")</f>
        <v>2017-18 Adjustment</v>
      </c>
      <c r="N76" s="270">
        <f>IF(M76="","",IF($B$1="Eligibility",'13. 17-18 Exc &amp; Adj'!$B$70,IF($B$1="Compliance",'13. 17-18 Exc &amp; Adj'!$I$70)))</f>
        <v>0</v>
      </c>
      <c r="O76" s="320"/>
      <c r="P76" s="219"/>
    </row>
    <row r="77" spans="1:16" x14ac:dyDescent="0.25">
      <c r="A77" s="257" t="str">
        <f>IF(C$6="Met","",IF(OR(B$4="2016-2017",B$4="2015-2016"),"","2015-16 Adjustment"))</f>
        <v>2015-16 Adjustment</v>
      </c>
      <c r="B77" s="270">
        <f>IF(A77="","",'7. 15-16 Exc &amp; Adj'!$I$70)</f>
        <v>0</v>
      </c>
      <c r="C77" s="284"/>
      <c r="E77" s="257" t="str">
        <f>IF(G$6="Met","",IF(OR(F$4="2016-2017",F$4="2015-2016"),"","2015-16 Adjustment"))</f>
        <v>2015-16 Adjustment</v>
      </c>
      <c r="F77" s="270">
        <f>IF(E77="","",'7. 15-16 Exc &amp; Adj'!$I$70)</f>
        <v>0</v>
      </c>
      <c r="G77" s="284"/>
      <c r="I77" s="267" t="str">
        <f>IF(K$6="Met","","2016-17 Adjustment")</f>
        <v>2016-17 Adjustment</v>
      </c>
      <c r="J77" s="270">
        <f>IF(I77="","",IF($B$1="Eligibility",'10. 16-17 Exc &amp; Adj'!$B$70,IF($B$1="Compliance",'10. 16-17 Exc &amp; Adj'!$I$70)))</f>
        <v>0</v>
      </c>
      <c r="K77" s="284"/>
      <c r="L77" s="219"/>
      <c r="M77" s="283" t="str">
        <f>IF(O$6="Met","","2016-17 Adjustment")</f>
        <v>2016-17 Adjustment</v>
      </c>
      <c r="N77" s="270">
        <f>IF(M77="","",IF($B$1="Eligibility",'10. 16-17 Exc &amp; Adj'!$B$70,IF($B$1="Compliance",'10. 16-17 Exc &amp; Adj'!$I$70)))</f>
        <v>0</v>
      </c>
      <c r="O77" s="284"/>
      <c r="P77" s="219"/>
    </row>
    <row r="78" spans="1:16" x14ac:dyDescent="0.25">
      <c r="A78" s="257" t="str">
        <f>IF(C$6="Met","",IF(OR(B$4="2016-2017",B$4="2015-2016",B$4="2014-2015"),"","2014-15 Adjustment"))</f>
        <v>2014-15 Adjustment</v>
      </c>
      <c r="B78" s="270">
        <f>IF(A78="","",'23. 14-15 Exc &amp; Adj'!B69)</f>
        <v>0</v>
      </c>
      <c r="C78" s="284"/>
      <c r="E78" s="257" t="str">
        <f>IF(G$6="Met","",IF(OR(F$4="2016-2017",F$4="2015-2016",F$4="2014-2015"),"","2014-15 Adjustment"))</f>
        <v>2014-15 Adjustment</v>
      </c>
      <c r="F78" s="270">
        <f>IF(E78="","",'23. 14-15 Exc &amp; Adj'!B69)</f>
        <v>0</v>
      </c>
      <c r="G78" s="284"/>
      <c r="I78" s="257" t="str">
        <f>IF(K$6="Met","",IF(OR(J$4="2016-2017",J$4="2015-2016"),"","2015-16 Adjustment"))</f>
        <v>2015-16 Adjustment</v>
      </c>
      <c r="J78" s="270">
        <f>IF(I78="","",'7. 15-16 Exc &amp; Adj'!$I$70)</f>
        <v>0</v>
      </c>
      <c r="K78" s="284"/>
      <c r="L78" s="219"/>
      <c r="M78" s="257" t="str">
        <f>IF(O$6="Met","",IF(OR(N$4="2016-2017",N$4="2015-2016"),"","2015-16 Adjustment"))</f>
        <v>2015-16 Adjustment</v>
      </c>
      <c r="N78" s="270">
        <f>IF(M78="","",'7. 15-16 Exc &amp; Adj'!$I$70)</f>
        <v>0</v>
      </c>
      <c r="O78" s="284"/>
    </row>
    <row r="79" spans="1:16" x14ac:dyDescent="0.25">
      <c r="A79" s="259" t="str">
        <f>IF(C$6="Met","",IF(OR(B$4="2016-2017",B$4="2015-2016",B$4="2014-2015",B$4="2013-2014"),"","2013-14 Adjustment"))</f>
        <v>2013-14 Adjustment</v>
      </c>
      <c r="B79" s="270">
        <f>IF(A79="","",'22. 13-14 Exc &amp; Adj'!B69)</f>
        <v>0</v>
      </c>
      <c r="C79" s="284"/>
      <c r="E79" s="259" t="str">
        <f>IF(G$6="Met","",IF(OR(F$4="2016-2017",F$4="2015-2016",F$4="2014-2015",F$4="2013-2014"),"","2013-14 Adjustment"))</f>
        <v>2013-14 Adjustment</v>
      </c>
      <c r="F79" s="270">
        <f>IF(E79="","",'22. 13-14 Exc &amp; Adj'!B69)</f>
        <v>0</v>
      </c>
      <c r="G79" s="284"/>
      <c r="I79" s="257" t="str">
        <f>IF(K$6="Met","",IF(OR(J$4="2016-2017",J$4="2015-2016",J$4="2014-2015"),"","2014-15 Adjustment"))</f>
        <v>2014-15 Adjustment</v>
      </c>
      <c r="J79" s="270">
        <f>IF(I79="","",'23. 14-15 Exc &amp; Adj'!B69)</f>
        <v>0</v>
      </c>
      <c r="K79" s="284"/>
      <c r="L79" s="219"/>
      <c r="M79" s="257" t="str">
        <f>IF(O$6="Met","",IF(OR(N$4="2016-2017",N$4="2015-2016",N$4="2014-2015"),"","2014-15 Adjustment"))</f>
        <v>2014-15 Adjustment</v>
      </c>
      <c r="N79" s="270">
        <f>IF(M79="","",'23. 14-15 Exc &amp; Adj'!B69)</f>
        <v>0</v>
      </c>
      <c r="O79" s="284"/>
    </row>
    <row r="80" spans="1:16" x14ac:dyDescent="0.25">
      <c r="A80" s="260" t="str">
        <f>IF(C$6="Met","",IF(OR(B$4="2016-2017",B$4="2015-2016",B$4="2014-2015",B$4="2013-2014",B$4="2012-2013"),"","2012-13 Adjustment"))</f>
        <v>2012-13 Adjustment</v>
      </c>
      <c r="B80" s="271">
        <f>IF(A80="","",'21. 12-13 Exc &amp; Adj'!B69)</f>
        <v>0</v>
      </c>
      <c r="C80" s="284"/>
      <c r="E80" s="260" t="str">
        <f>IF(G$6="Met","",IF(OR(F$4="2016-2017",F$4="2015-2016",F$4="2014-2015",F$4="2013-2014",F$4="2012-2013"),"","2012-13 Adjustment"))</f>
        <v>2012-13 Adjustment</v>
      </c>
      <c r="F80" s="271">
        <f>IF(E80="","",'21. 12-13 Exc &amp; Adj'!B69)</f>
        <v>0</v>
      </c>
      <c r="G80" s="284"/>
      <c r="I80" s="259" t="str">
        <f>IF(K$6="Met","",IF(OR(J$4="2016-2017",J$4="2015-2016",J$4="2014-2015",J$4="2013-2014"),"","2013-14 Adjustment"))</f>
        <v>2013-14 Adjustment</v>
      </c>
      <c r="J80" s="270">
        <f>IF(I80="","",'22. 13-14 Exc &amp; Adj'!B69)</f>
        <v>0</v>
      </c>
      <c r="K80" s="284"/>
      <c r="M80" s="259" t="str">
        <f>IF(O$6="Met","",IF(OR(N$4="2016-2017",N$4="2015-2016",N$4="2014-2015",N$4="2013-2014"),"","2013-14 Adjustment"))</f>
        <v>2013-14 Adjustment</v>
      </c>
      <c r="N80" s="270">
        <f>IF(M80="","",'22. 13-14 Exc &amp; Adj'!B69)</f>
        <v>0</v>
      </c>
      <c r="O80" s="284"/>
    </row>
    <row r="81" spans="1:15" x14ac:dyDescent="0.25">
      <c r="A81" s="391" t="str">
        <f>IF(C$6="Met","",IF(OR(B$4="2016-2017",B$4="2015-2016",B$4="2014-2015",B$4="2013-2014",B$4="2012-2013",B$4="2011-2012"),"","2011-12 Adjustment"))</f>
        <v>2011-12 Adjustment</v>
      </c>
      <c r="B81" s="271">
        <f>IF(A81="","",'20. 11-12 Exc &amp; Adj'!B69)</f>
        <v>0</v>
      </c>
      <c r="C81" s="284"/>
      <c r="E81" s="391" t="str">
        <f>IF(G$6="Met","",IF(OR(F$4="2016-2017",F$4="2015-2016",F$4="2014-2015",F$4="2013-2014",F$4="2012-2013",F$4="2011-2012"),"","2011-12 Adjustment"))</f>
        <v>2011-12 Adjustment</v>
      </c>
      <c r="F81" s="271">
        <f>IF(E81="","",'20. 11-12 Exc &amp; Adj'!B69)</f>
        <v>0</v>
      </c>
      <c r="G81" s="284"/>
      <c r="I81" s="260" t="str">
        <f>IF(K$6="Met","",IF(OR(J$4="2016-2017",J$4="2015-2016",J$4="2014-2015",J$4="2013-2014",J$4="2012-2013"),"","2012-13 Adjustment"))</f>
        <v>2012-13 Adjustment</v>
      </c>
      <c r="J81" s="271">
        <f>IF(I81="","",'21. 12-13 Exc &amp; Adj'!B69)</f>
        <v>0</v>
      </c>
      <c r="K81" s="284"/>
      <c r="M81" s="260" t="str">
        <f>IF(O$6="Met","",IF(OR(N$4="2016-2017",N$4="2015-2016",N$4="2014-2015",N$4="2013-2014",N$4="2012-2013"),"","2012-13 Adjustment"))</f>
        <v>2012-13 Adjustment</v>
      </c>
      <c r="N81" s="271">
        <f>IF(M81="","",'21. 12-13 Exc &amp; Adj'!B69)</f>
        <v>0</v>
      </c>
      <c r="O81" s="284"/>
    </row>
    <row r="82" spans="1:15" x14ac:dyDescent="0.25">
      <c r="A82" s="489" t="s">
        <v>219</v>
      </c>
      <c r="B82" s="489"/>
      <c r="C82" s="284"/>
      <c r="E82" s="488" t="s">
        <v>219</v>
      </c>
      <c r="F82" s="489"/>
      <c r="G82" s="284"/>
      <c r="I82" s="391" t="str">
        <f>IF(K$6="Met","",IF(OR(J$4="2016-2017",J$4="2015-2016",J$4="2014-2015",J$4="2013-2014",J$4="2012-2013",J$4="2011-2012"),"","2011-12 Adjustment"))</f>
        <v>2011-12 Adjustment</v>
      </c>
      <c r="J82" s="271">
        <f>IF(I82="","",'20. 11-12 Exc &amp; Adj'!B69)</f>
        <v>0</v>
      </c>
      <c r="K82" s="284"/>
      <c r="M82" s="391" t="str">
        <f>IF(O$6="Met","",IF(OR(N$4="2016-2017",N$4="2015-2016",N$4="2014-2015",N$4="2013-2014",N$4="2012-2013",N$4="2011-2012"),"","2011-12 Adjustment"))</f>
        <v>2011-12 Adjustment</v>
      </c>
      <c r="N82" s="271">
        <f>IF(M82="","",'20. 11-12 Exc &amp; Adj'!B69)</f>
        <v>0</v>
      </c>
      <c r="O82" s="284"/>
    </row>
    <row r="83" spans="1:15" ht="16.5" thickBot="1" x14ac:dyDescent="0.3">
      <c r="A83" s="274" t="s">
        <v>78</v>
      </c>
      <c r="B83" s="318">
        <f>SUM(B75:B81)</f>
        <v>0</v>
      </c>
      <c r="C83" s="285"/>
      <c r="E83" s="274" t="s">
        <v>78</v>
      </c>
      <c r="F83" s="318">
        <f>SUM(F75:F81)</f>
        <v>0</v>
      </c>
      <c r="G83" s="285"/>
      <c r="I83" s="488" t="s">
        <v>219</v>
      </c>
      <c r="J83" s="489"/>
      <c r="K83" s="284"/>
      <c r="M83" s="488" t="s">
        <v>219</v>
      </c>
      <c r="N83" s="489"/>
      <c r="O83" s="284"/>
    </row>
    <row r="84" spans="1:15" x14ac:dyDescent="0.25">
      <c r="I84" s="277" t="s">
        <v>102</v>
      </c>
      <c r="J84" s="101">
        <f>SUM(J76:J82)</f>
        <v>0</v>
      </c>
      <c r="K84" s="284"/>
      <c r="M84" s="277" t="s">
        <v>102</v>
      </c>
      <c r="N84" s="101">
        <f>SUM(N76:N82)</f>
        <v>0</v>
      </c>
      <c r="O84" s="284"/>
    </row>
    <row r="85" spans="1:15" ht="16.5" thickBot="1" x14ac:dyDescent="0.3">
      <c r="A85" s="428" t="s">
        <v>258</v>
      </c>
      <c r="I85" s="274" t="s">
        <v>103</v>
      </c>
      <c r="J85" s="275" t="str">
        <f>IF(J87=0,"",J84/J87)</f>
        <v/>
      </c>
      <c r="K85" s="285"/>
      <c r="M85" s="274" t="s">
        <v>103</v>
      </c>
      <c r="N85" s="275" t="str">
        <f>IF(N87=0,"",N84/N87)</f>
        <v/>
      </c>
      <c r="O85" s="285"/>
    </row>
    <row r="86" spans="1:15" x14ac:dyDescent="0.25">
      <c r="A86" s="427" t="s">
        <v>252</v>
      </c>
      <c r="I86" s="496" t="s">
        <v>219</v>
      </c>
      <c r="J86" s="496"/>
      <c r="K86" s="496"/>
      <c r="M86" s="496" t="s">
        <v>219</v>
      </c>
      <c r="N86" s="496"/>
      <c r="O86" s="496"/>
    </row>
    <row r="87" spans="1:15" x14ac:dyDescent="0.25">
      <c r="I87" s="286" t="s">
        <v>99</v>
      </c>
      <c r="J87" s="479">
        <f>LOOKUP(J4,'4. Multi-Year MOE Summary'!$A$3:$A$12,'4. Multi-Year MOE Summary'!$C$3:$C$12)</f>
        <v>0</v>
      </c>
      <c r="M87" s="286" t="s">
        <v>99</v>
      </c>
      <c r="N87" s="479">
        <f>LOOKUP(N4,'4. Multi-Year MOE Summary'!$A$3:$A$12,'4. Multi-Year MOE Summary'!$C$3:$C$12)</f>
        <v>0</v>
      </c>
    </row>
    <row r="88" spans="1:15" x14ac:dyDescent="0.25">
      <c r="A88" s="497" t="s">
        <v>221</v>
      </c>
      <c r="B88" s="497"/>
      <c r="C88" s="497"/>
      <c r="D88" s="497"/>
      <c r="E88" s="497"/>
      <c r="F88" s="497"/>
      <c r="G88" s="497"/>
      <c r="H88" s="497"/>
      <c r="I88" s="497"/>
      <c r="J88" s="497"/>
      <c r="K88" s="497"/>
      <c r="L88" s="497"/>
      <c r="M88" s="497"/>
      <c r="N88" s="497"/>
    </row>
  </sheetData>
  <sheetProtection algorithmName="SHA-512" hashValue="B+iFufo1LaUHz8dNHXdir4zP53xyweTSsbifyhvREJ2lh05l9g2rTlwVpr8QEM1k2Sfwtbh+2sXVJpRfTNxXxQ==" saltValue="/mc68LXgD2fkpei8kz9wHA==" spinCount="100000" sheet="1" objects="1" scenarios="1"/>
  <mergeCells count="34">
    <mergeCell ref="M59:N59"/>
    <mergeCell ref="M48:N48"/>
    <mergeCell ref="I48:J48"/>
    <mergeCell ref="I59:J59"/>
    <mergeCell ref="I70:J70"/>
    <mergeCell ref="A88:N88"/>
    <mergeCell ref="M86:O86"/>
    <mergeCell ref="M83:N83"/>
    <mergeCell ref="M73:O73"/>
    <mergeCell ref="M70:N70"/>
    <mergeCell ref="I73:K73"/>
    <mergeCell ref="I83:J83"/>
    <mergeCell ref="I86:K86"/>
    <mergeCell ref="A72:C72"/>
    <mergeCell ref="A82:B82"/>
    <mergeCell ref="E82:F82"/>
    <mergeCell ref="E72:G72"/>
    <mergeCell ref="I12:K12"/>
    <mergeCell ref="I24:J24"/>
    <mergeCell ref="I34:J34"/>
    <mergeCell ref="M34:N34"/>
    <mergeCell ref="M24:N24"/>
    <mergeCell ref="M12:O12"/>
    <mergeCell ref="E59:F59"/>
    <mergeCell ref="A59:B59"/>
    <mergeCell ref="A70:B70"/>
    <mergeCell ref="E48:F48"/>
    <mergeCell ref="A12:C12"/>
    <mergeCell ref="A24:B24"/>
    <mergeCell ref="A34:B34"/>
    <mergeCell ref="A48:B48"/>
    <mergeCell ref="E34:F34"/>
    <mergeCell ref="E24:F24"/>
    <mergeCell ref="E12:G12"/>
  </mergeCells>
  <conditionalFormatting sqref="M52:N58">
    <cfRule type="containsBlanks" dxfId="1509" priority="490">
      <formula>LEN(TRIM(M52))=0</formula>
    </cfRule>
  </conditionalFormatting>
  <conditionalFormatting sqref="M76:N82">
    <cfRule type="containsBlanks" dxfId="1508" priority="486">
      <formula>LEN(TRIM(M76))=0</formula>
    </cfRule>
  </conditionalFormatting>
  <conditionalFormatting sqref="A63:B69">
    <cfRule type="containsBlanks" dxfId="1507" priority="350">
      <formula>LEN(TRIM(A63))=0</formula>
    </cfRule>
  </conditionalFormatting>
  <conditionalFormatting sqref="E63:F69">
    <cfRule type="containsBlanks" dxfId="1506" priority="336">
      <formula>LEN(TRIM(E63))=0</formula>
    </cfRule>
  </conditionalFormatting>
  <conditionalFormatting sqref="I63:J69">
    <cfRule type="containsBlanks" dxfId="1505" priority="284">
      <formula>LEN(TRIM(I63))=0</formula>
    </cfRule>
  </conditionalFormatting>
  <conditionalFormatting sqref="M63:N69">
    <cfRule type="containsBlanks" dxfId="1504" priority="265">
      <formula>LEN(TRIM(M63))=0</formula>
    </cfRule>
  </conditionalFormatting>
  <conditionalFormatting sqref="A17:B23">
    <cfRule type="containsBlanks" dxfId="1503" priority="239">
      <formula>LEN(TRIM(A17))=0</formula>
    </cfRule>
  </conditionalFormatting>
  <conditionalFormatting sqref="M17:N23">
    <cfRule type="containsBlanks" dxfId="1502" priority="230">
      <formula>LEN(TRIM(M17))=0</formula>
    </cfRule>
  </conditionalFormatting>
  <conditionalFormatting sqref="I17:J23">
    <cfRule type="containsBlanks" dxfId="1501" priority="194">
      <formula>LEN(TRIM(I17))=0</formula>
    </cfRule>
  </conditionalFormatting>
  <conditionalFormatting sqref="E17:F23">
    <cfRule type="containsBlanks" dxfId="1500" priority="174">
      <formula>LEN(TRIM(E17))=0</formula>
    </cfRule>
  </conditionalFormatting>
  <conditionalFormatting sqref="E27:F33">
    <cfRule type="containsBlanks" dxfId="1499" priority="171">
      <formula>LEN(TRIM(E27))=0</formula>
    </cfRule>
  </conditionalFormatting>
  <conditionalFormatting sqref="A27:B33">
    <cfRule type="containsBlanks" dxfId="1498" priority="168">
      <formula>LEN(TRIM(A27))=0</formula>
    </cfRule>
  </conditionalFormatting>
  <conditionalFormatting sqref="A41:B47">
    <cfRule type="containsBlanks" dxfId="1497" priority="123">
      <formula>LEN(TRIM(A41))=0</formula>
    </cfRule>
  </conditionalFormatting>
  <conditionalFormatting sqref="M27:N33">
    <cfRule type="containsBlanks" dxfId="1496" priority="150">
      <formula>LEN(TRIM(M27))=0</formula>
    </cfRule>
  </conditionalFormatting>
  <conditionalFormatting sqref="E41:F47">
    <cfRule type="containsBlanks" dxfId="1495" priority="79">
      <formula>LEN(TRIM(E41))=0</formula>
    </cfRule>
  </conditionalFormatting>
  <conditionalFormatting sqref="I41:J47">
    <cfRule type="containsBlanks" dxfId="1494" priority="78">
      <formula>LEN(TRIM(I41))=0</formula>
    </cfRule>
  </conditionalFormatting>
  <conditionalFormatting sqref="I27:J33">
    <cfRule type="containsBlanks" dxfId="1493" priority="103">
      <formula>LEN(TRIM(I27))=0</formula>
    </cfRule>
  </conditionalFormatting>
  <conditionalFormatting sqref="M41:N47">
    <cfRule type="containsBlanks" dxfId="1492" priority="93">
      <formula>LEN(TRIM(M41))=0</formula>
    </cfRule>
  </conditionalFormatting>
  <conditionalFormatting sqref="A52:B58">
    <cfRule type="containsBlanks" dxfId="1491" priority="57">
      <formula>LEN(TRIM(A52))=0</formula>
    </cfRule>
  </conditionalFormatting>
  <conditionalFormatting sqref="E52:F58">
    <cfRule type="containsBlanks" dxfId="1490" priority="51">
      <formula>LEN(TRIM(E52))=0</formula>
    </cfRule>
  </conditionalFormatting>
  <conditionalFormatting sqref="I52:J58">
    <cfRule type="containsBlanks" dxfId="1489" priority="44">
      <formula>LEN(TRIM(I52))=0</formula>
    </cfRule>
  </conditionalFormatting>
  <conditionalFormatting sqref="A75:B81">
    <cfRule type="containsBlanks" dxfId="1488" priority="12">
      <formula>LEN(TRIM(A75))=0</formula>
    </cfRule>
  </conditionalFormatting>
  <conditionalFormatting sqref="E75:F81">
    <cfRule type="containsBlanks" dxfId="1487" priority="11">
      <formula>LEN(TRIM(E75))=0</formula>
    </cfRule>
  </conditionalFormatting>
  <conditionalFormatting sqref="I76:J82">
    <cfRule type="containsBlanks" dxfId="1486" priority="10">
      <formula>LEN(TRIM(I76))=0</formula>
    </cfRule>
  </conditionalFormatting>
  <conditionalFormatting sqref="C6 C9 C11">
    <cfRule type="containsText" dxfId="1485" priority="603" operator="containsText" text="Did Not Meet">
      <formula>NOT(ISERROR(SEARCH("Did Not Meet",C6)))</formula>
    </cfRule>
    <cfRule type="containsText" dxfId="1484" priority="604" operator="containsText" text="Met">
      <formula>NOT(ISERROR(SEARCH("Met",C6)))</formula>
    </cfRule>
  </conditionalFormatting>
  <conditionalFormatting sqref="G6 G9 G11">
    <cfRule type="containsText" dxfId="1483" priority="477" operator="containsText" text="Did Not Meet">
      <formula>NOT(ISERROR(SEARCH("Did Not Meet",G6)))</formula>
    </cfRule>
    <cfRule type="containsText" dxfId="1482" priority="478" operator="containsText" text="Met">
      <formula>NOT(ISERROR(SEARCH("Met",G6)))</formula>
    </cfRule>
  </conditionalFormatting>
  <conditionalFormatting sqref="K6 K9 K11">
    <cfRule type="containsText" dxfId="1481" priority="307" operator="containsText" text="Did Not Meet">
      <formula>NOT(ISERROR(SEARCH("Did Not Meet",K6)))</formula>
    </cfRule>
    <cfRule type="containsText" dxfId="1480" priority="308" operator="containsText" text="Met">
      <formula>NOT(ISERROR(SEARCH("Met",K6)))</formula>
    </cfRule>
  </conditionalFormatting>
  <conditionalFormatting sqref="O6 O9 O11">
    <cfRule type="containsText" dxfId="1479" priority="305" operator="containsText" text="Did Not Meet">
      <formula>NOT(ISERROR(SEARCH("Did Not Meet",O6)))</formula>
    </cfRule>
    <cfRule type="containsText" dxfId="1478" priority="306" operator="containsText" text="Met">
      <formula>NOT(ISERROR(SEARCH("Met",O6)))</formula>
    </cfRule>
  </conditionalFormatting>
  <hyperlinks>
    <hyperlink ref="A86" r:id="rId1" display="http://cifr.wested.org/resources/lea-moe/calculator/"/>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335" id="{DA29B6C2-4845-4F34-B754-4D2879D2E225}">
            <xm:f>'3. Getting Started'!$B$10="No"</xm:f>
            <x14:dxf>
              <fill>
                <patternFill>
                  <bgColor theme="1"/>
                </patternFill>
              </fill>
            </x14:dxf>
          </x14:cfRule>
          <xm:sqref>E68:F68</xm:sqref>
        </x14:conditionalFormatting>
        <x14:conditionalFormatting xmlns:xm="http://schemas.microsoft.com/office/excel/2006/main">
          <x14:cfRule type="expression" priority="300" id="{1BB7D33D-CB46-4817-A4B4-EECB038C80DB}">
            <xm:f>'3. Getting Started'!$B$14="No"</xm:f>
            <x14:dxf>
              <fill>
                <patternFill>
                  <bgColor theme="1"/>
                </patternFill>
              </fill>
            </x14:dxf>
          </x14:cfRule>
          <xm:sqref>A64:B64</xm:sqref>
        </x14:conditionalFormatting>
        <x14:conditionalFormatting xmlns:xm="http://schemas.microsoft.com/office/excel/2006/main">
          <x14:cfRule type="expression" priority="301" id="{83B70DA6-2470-4A33-8545-268E32179644}">
            <xm:f>'3. Getting Started'!$B$13="No"</xm:f>
            <x14:dxf>
              <fill>
                <patternFill>
                  <bgColor theme="1"/>
                </patternFill>
              </fill>
            </x14:dxf>
          </x14:cfRule>
          <xm:sqref>A65:B65</xm:sqref>
        </x14:conditionalFormatting>
        <x14:conditionalFormatting xmlns:xm="http://schemas.microsoft.com/office/excel/2006/main">
          <x14:cfRule type="expression" priority="302" id="{1B7F8090-6B4D-4FEE-8713-9E541D3CF368}">
            <xm:f>'3. Getting Started'!$B$12="No"</xm:f>
            <x14:dxf>
              <fill>
                <patternFill>
                  <bgColor theme="1"/>
                </patternFill>
              </fill>
            </x14:dxf>
          </x14:cfRule>
          <xm:sqref>A66:B66</xm:sqref>
        </x14:conditionalFormatting>
        <x14:conditionalFormatting xmlns:xm="http://schemas.microsoft.com/office/excel/2006/main">
          <x14:cfRule type="expression" priority="303" id="{D654CAA4-C821-4C92-AE04-6A1A7FD08E74}">
            <xm:f>'3. Getting Started'!$B$11="No"</xm:f>
            <x14:dxf>
              <fill>
                <patternFill>
                  <bgColor theme="1"/>
                </patternFill>
              </fill>
            </x14:dxf>
          </x14:cfRule>
          <xm:sqref>A67:B67</xm:sqref>
        </x14:conditionalFormatting>
        <x14:conditionalFormatting xmlns:xm="http://schemas.microsoft.com/office/excel/2006/main">
          <x14:cfRule type="expression" priority="304" id="{DFB65B25-0ECA-434B-AD58-7EB13E9276B3}">
            <xm:f>'3. Getting Started'!$B$10="No"</xm:f>
            <x14:dxf>
              <fill>
                <patternFill>
                  <bgColor theme="1"/>
                </patternFill>
              </fill>
            </x14:dxf>
          </x14:cfRule>
          <xm:sqref>A68:B68</xm:sqref>
        </x14:conditionalFormatting>
        <x14:conditionalFormatting xmlns:xm="http://schemas.microsoft.com/office/excel/2006/main">
          <x14:cfRule type="expression" priority="299" id="{E44E1524-D809-4D4C-A36B-0771DDD9BB9A}">
            <xm:f>'3. Getting Started'!$B$11="No"</xm:f>
            <x14:dxf>
              <fill>
                <patternFill>
                  <bgColor theme="1"/>
                </patternFill>
              </fill>
            </x14:dxf>
          </x14:cfRule>
          <xm:sqref>E67:F67</xm:sqref>
        </x14:conditionalFormatting>
        <x14:conditionalFormatting xmlns:xm="http://schemas.microsoft.com/office/excel/2006/main">
          <x14:cfRule type="expression" priority="298" id="{25D1078D-57CF-407A-80AF-1663C3536D02}">
            <xm:f>'3. Getting Started'!$B$12="No"</xm:f>
            <x14:dxf>
              <fill>
                <patternFill>
                  <bgColor theme="1"/>
                </patternFill>
              </fill>
            </x14:dxf>
          </x14:cfRule>
          <xm:sqref>E66:F66</xm:sqref>
        </x14:conditionalFormatting>
        <x14:conditionalFormatting xmlns:xm="http://schemas.microsoft.com/office/excel/2006/main">
          <x14:cfRule type="expression" priority="297" id="{95B35AF9-C792-45A8-92C9-6342925DFD7F}">
            <xm:f>'3. Getting Started'!$B$13="No"</xm:f>
            <x14:dxf>
              <fill>
                <patternFill>
                  <bgColor theme="1"/>
                </patternFill>
              </fill>
            </x14:dxf>
          </x14:cfRule>
          <xm:sqref>E65:F65</xm:sqref>
        </x14:conditionalFormatting>
        <x14:conditionalFormatting xmlns:xm="http://schemas.microsoft.com/office/excel/2006/main">
          <x14:cfRule type="expression" priority="296" id="{6BDE759C-88FB-4AF8-BD83-129CB723D795}">
            <xm:f>'3. Getting Started'!$B$14="No"</xm:f>
            <x14:dxf>
              <fill>
                <patternFill>
                  <bgColor theme="1"/>
                </patternFill>
              </fill>
            </x14:dxf>
          </x14:cfRule>
          <xm:sqref>E64:F64</xm:sqref>
        </x14:conditionalFormatting>
        <x14:conditionalFormatting xmlns:xm="http://schemas.microsoft.com/office/excel/2006/main">
          <x14:cfRule type="expression" priority="283" id="{780ADC3C-BDA2-48B8-AAC5-F78D97E1ADD6}">
            <xm:f>'3. Getting Started'!$B$10="No"</xm:f>
            <x14:dxf>
              <fill>
                <patternFill>
                  <bgColor theme="1"/>
                </patternFill>
              </fill>
            </x14:dxf>
          </x14:cfRule>
          <xm:sqref>I68:J68</xm:sqref>
        </x14:conditionalFormatting>
        <x14:conditionalFormatting xmlns:xm="http://schemas.microsoft.com/office/excel/2006/main">
          <x14:cfRule type="expression" priority="282" id="{08265650-8F95-44C8-96A7-13A0E41D8E5F}">
            <xm:f>'3. Getting Started'!$B$11="No"</xm:f>
            <x14:dxf>
              <fill>
                <patternFill>
                  <bgColor theme="1"/>
                </patternFill>
              </fill>
            </x14:dxf>
          </x14:cfRule>
          <xm:sqref>I67:J67</xm:sqref>
        </x14:conditionalFormatting>
        <x14:conditionalFormatting xmlns:xm="http://schemas.microsoft.com/office/excel/2006/main">
          <x14:cfRule type="expression" priority="281" id="{8A773F04-E4FA-4773-8BC1-7CF044C6146F}">
            <xm:f>'3. Getting Started'!$B$12="No"</xm:f>
            <x14:dxf>
              <fill>
                <patternFill>
                  <bgColor theme="1"/>
                </patternFill>
              </fill>
            </x14:dxf>
          </x14:cfRule>
          <xm:sqref>I66:J66</xm:sqref>
        </x14:conditionalFormatting>
        <x14:conditionalFormatting xmlns:xm="http://schemas.microsoft.com/office/excel/2006/main">
          <x14:cfRule type="expression" priority="280" id="{72E03432-4C4F-476B-BEAE-10962810630F}">
            <xm:f>'3. Getting Started'!$B$13="No"</xm:f>
            <x14:dxf>
              <fill>
                <patternFill>
                  <bgColor theme="1"/>
                </patternFill>
              </fill>
            </x14:dxf>
          </x14:cfRule>
          <xm:sqref>I65:J65</xm:sqref>
        </x14:conditionalFormatting>
        <x14:conditionalFormatting xmlns:xm="http://schemas.microsoft.com/office/excel/2006/main">
          <x14:cfRule type="expression" priority="279" id="{E85FBDAF-A304-4D0B-B3FC-9DFC7ED69CAC}">
            <xm:f>'3. Getting Started'!$B$14="No"</xm:f>
            <x14:dxf>
              <fill>
                <patternFill>
                  <bgColor theme="1"/>
                </patternFill>
              </fill>
            </x14:dxf>
          </x14:cfRule>
          <xm:sqref>I64:J64</xm:sqref>
        </x14:conditionalFormatting>
        <x14:conditionalFormatting xmlns:xm="http://schemas.microsoft.com/office/excel/2006/main">
          <x14:cfRule type="expression" priority="255" id="{5BCDC66A-66C5-41B0-9087-E50336CD8592}">
            <xm:f>'3. Getting Started'!$B$10="No"</xm:f>
            <x14:dxf>
              <fill>
                <patternFill>
                  <bgColor theme="1"/>
                </patternFill>
              </fill>
            </x14:dxf>
          </x14:cfRule>
          <xm:sqref>M68:N68</xm:sqref>
        </x14:conditionalFormatting>
        <x14:conditionalFormatting xmlns:xm="http://schemas.microsoft.com/office/excel/2006/main">
          <x14:cfRule type="expression" priority="252" id="{A399C3D3-9B7F-4FD4-9829-F4949EB85857}">
            <xm:f>'3. Getting Started'!$B$11="No"</xm:f>
            <x14:dxf>
              <fill>
                <patternFill>
                  <bgColor theme="1"/>
                </patternFill>
              </fill>
            </x14:dxf>
          </x14:cfRule>
          <xm:sqref>M67:N67</xm:sqref>
        </x14:conditionalFormatting>
        <x14:conditionalFormatting xmlns:xm="http://schemas.microsoft.com/office/excel/2006/main">
          <x14:cfRule type="expression" priority="251" id="{FF46E428-ED55-4A90-86F7-5955DD7F776F}">
            <xm:f>'3. Getting Started'!$B$12="No"</xm:f>
            <x14:dxf>
              <fill>
                <patternFill>
                  <bgColor theme="1"/>
                </patternFill>
              </fill>
            </x14:dxf>
          </x14:cfRule>
          <xm:sqref>M66:N66</xm:sqref>
        </x14:conditionalFormatting>
        <x14:conditionalFormatting xmlns:xm="http://schemas.microsoft.com/office/excel/2006/main">
          <x14:cfRule type="expression" priority="250" id="{F3085CBF-2451-41DC-9DC1-E2D9195664DC}">
            <xm:f>'3. Getting Started'!$B$13="No"</xm:f>
            <x14:dxf>
              <fill>
                <patternFill>
                  <bgColor theme="1"/>
                </patternFill>
              </fill>
            </x14:dxf>
          </x14:cfRule>
          <xm:sqref>M65:N65</xm:sqref>
        </x14:conditionalFormatting>
        <x14:conditionalFormatting xmlns:xm="http://schemas.microsoft.com/office/excel/2006/main">
          <x14:cfRule type="expression" priority="249" id="{1009D1F9-E881-4928-A335-19F3EE9CB907}">
            <xm:f>'3. Getting Started'!$B$14="No"</xm:f>
            <x14:dxf>
              <fill>
                <patternFill>
                  <bgColor theme="1"/>
                </patternFill>
              </fill>
            </x14:dxf>
          </x14:cfRule>
          <xm:sqref>M64:N64</xm:sqref>
        </x14:conditionalFormatting>
        <x14:conditionalFormatting xmlns:xm="http://schemas.microsoft.com/office/excel/2006/main">
          <x14:cfRule type="expression" priority="17" id="{6F4BC314-CB44-4550-950A-13C97EF1B2D2}">
            <xm:f>'3. Getting Started'!$B$15="No"</xm:f>
            <x14:dxf>
              <fill>
                <patternFill>
                  <bgColor theme="1"/>
                </patternFill>
              </fill>
            </x14:dxf>
          </x14:cfRule>
          <xm:sqref>A63:B63</xm:sqref>
        </x14:conditionalFormatting>
        <x14:conditionalFormatting xmlns:xm="http://schemas.microsoft.com/office/excel/2006/main">
          <x14:cfRule type="expression" priority="15" id="{5F38018A-FFA9-436F-BC92-B8277010AD07}">
            <xm:f>'3. Getting Started'!$B$15="No"</xm:f>
            <x14:dxf>
              <fill>
                <patternFill>
                  <bgColor theme="1"/>
                </patternFill>
              </fill>
            </x14:dxf>
          </x14:cfRule>
          <xm:sqref>E63:F63</xm:sqref>
        </x14:conditionalFormatting>
        <x14:conditionalFormatting xmlns:xm="http://schemas.microsoft.com/office/excel/2006/main">
          <x14:cfRule type="expression" priority="14" id="{EE35837A-1907-4794-87F2-F2EA30814E04}">
            <xm:f>'3. Getting Started'!$B$15="No"</xm:f>
            <x14:dxf>
              <fill>
                <patternFill>
                  <bgColor theme="1"/>
                </patternFill>
              </fill>
            </x14:dxf>
          </x14:cfRule>
          <xm:sqref>I63:J63</xm:sqref>
        </x14:conditionalFormatting>
        <x14:conditionalFormatting xmlns:xm="http://schemas.microsoft.com/office/excel/2006/main">
          <x14:cfRule type="expression" priority="13" id="{7766D825-F88C-47C1-A5B0-A12CC0756C0E}">
            <xm:f>'3. Getting Started'!$B$15="No"</xm:f>
            <x14:dxf>
              <fill>
                <patternFill>
                  <bgColor theme="1"/>
                </patternFill>
              </fill>
            </x14:dxf>
          </x14:cfRule>
          <xm:sqref>M63:N63</xm:sqref>
        </x14:conditionalFormatting>
        <x14:conditionalFormatting xmlns:xm="http://schemas.microsoft.com/office/excel/2006/main">
          <x14:cfRule type="expression" priority="7" id="{649A1207-B674-4A09-9EEA-ED8BFF63409C}">
            <xm:f>'3. Getting Started'!$B$9="No"</xm:f>
            <x14:dxf>
              <fill>
                <patternFill>
                  <bgColor theme="1"/>
                </patternFill>
              </fill>
            </x14:dxf>
          </x14:cfRule>
          <xm:sqref>A69:B69</xm:sqref>
        </x14:conditionalFormatting>
        <x14:conditionalFormatting xmlns:xm="http://schemas.microsoft.com/office/excel/2006/main">
          <x14:cfRule type="expression" priority="6" id="{6A6B2E70-28AA-4E11-914A-89BB0A4B7B92}">
            <xm:f>'3. Getting Started'!$B$6="No"</xm:f>
            <x14:dxf>
              <font>
                <color theme="1"/>
              </font>
              <fill>
                <patternFill>
                  <bgColor theme="1"/>
                </patternFill>
              </fill>
            </x14:dxf>
          </x14:cfRule>
          <xm:sqref>A3:C83</xm:sqref>
        </x14:conditionalFormatting>
        <x14:conditionalFormatting xmlns:xm="http://schemas.microsoft.com/office/excel/2006/main">
          <x14:cfRule type="expression" priority="5" id="{DA2CC698-6B95-4BDF-B94E-E1492E685493}">
            <xm:f>'3. Getting Started'!$B$9="No"</xm:f>
            <x14:dxf>
              <fill>
                <patternFill>
                  <bgColor theme="1"/>
                </patternFill>
              </fill>
            </x14:dxf>
          </x14:cfRule>
          <xm:sqref>E69:F69</xm:sqref>
        </x14:conditionalFormatting>
        <x14:conditionalFormatting xmlns:xm="http://schemas.microsoft.com/office/excel/2006/main">
          <x14:cfRule type="expression" priority="4" id="{DB904222-132B-47C1-B1D2-03B45EFCF621}">
            <xm:f>'3. Getting Started'!$B$9="No"</xm:f>
            <x14:dxf>
              <fill>
                <patternFill>
                  <bgColor theme="1"/>
                </patternFill>
              </fill>
            </x14:dxf>
          </x14:cfRule>
          <xm:sqref>I69:J69</xm:sqref>
        </x14:conditionalFormatting>
        <x14:conditionalFormatting xmlns:xm="http://schemas.microsoft.com/office/excel/2006/main">
          <x14:cfRule type="expression" priority="3" id="{FC962251-EC0C-4CAB-9792-A650379437BA}">
            <xm:f>'3. Getting Started'!$B$6="No"</xm:f>
            <x14:dxf>
              <font>
                <color theme="1"/>
              </font>
              <fill>
                <patternFill>
                  <bgColor theme="1"/>
                </patternFill>
              </fill>
            </x14:dxf>
          </x14:cfRule>
          <xm:sqref>I3:K87</xm:sqref>
        </x14:conditionalFormatting>
        <x14:conditionalFormatting xmlns:xm="http://schemas.microsoft.com/office/excel/2006/main">
          <x14:cfRule type="expression" priority="1" id="{6A670D97-3247-4619-A7BC-25872BCF0B27}">
            <xm:f>'3. Getting Started'!$B$9="No"</xm:f>
            <x14:dxf>
              <fill>
                <patternFill>
                  <bgColor theme="1"/>
                </patternFill>
              </fill>
            </x14:dxf>
          </x14:cfRule>
          <xm:sqref>M69:N69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4" t="s">
        <v>254</v>
      </c>
      <c r="E1" s="475" t="str">
        <f>IF('3. Getting Started'!$B2="","",'3. Getting Started'!$B2)</f>
        <v/>
      </c>
      <c r="G1" s="42"/>
      <c r="I1" s="47"/>
      <c r="J1" s="47"/>
      <c r="K1" s="474" t="s">
        <v>254</v>
      </c>
      <c r="L1" s="475" t="str">
        <f>IF('3. Getting Started'!$B2="","",'3. Getting Started'!$B2)</f>
        <v/>
      </c>
      <c r="M1" s="47"/>
      <c r="N1" s="44"/>
      <c r="O1" s="44"/>
      <c r="P1" s="44"/>
      <c r="Q1" s="44"/>
      <c r="R1" s="44"/>
      <c r="S1" s="44"/>
      <c r="T1" s="44"/>
    </row>
    <row r="2" spans="1:20" ht="25.9" customHeight="1" thickBot="1" x14ac:dyDescent="0.3">
      <c r="A2" s="346" t="s">
        <v>239</v>
      </c>
      <c r="B2" s="207"/>
      <c r="C2" s="207"/>
      <c r="D2" s="207"/>
      <c r="E2" s="207"/>
      <c r="F2" s="208"/>
      <c r="G2" s="81"/>
      <c r="H2" s="346" t="s">
        <v>249</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356">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6"/>
      <c r="D15" s="21"/>
      <c r="E15" s="21"/>
      <c r="F15" s="63">
        <f>D15+E15</f>
        <v>0</v>
      </c>
      <c r="G15" s="153"/>
      <c r="H15" s="24"/>
      <c r="I15" s="39"/>
      <c r="J15" s="466"/>
      <c r="K15" s="21"/>
      <c r="L15" s="21"/>
      <c r="M15" s="63">
        <f>K15+L15</f>
        <v>0</v>
      </c>
    </row>
    <row r="16" spans="1:20" x14ac:dyDescent="0.25">
      <c r="A16" s="24"/>
      <c r="B16" s="39"/>
      <c r="C16" s="466"/>
      <c r="D16" s="21"/>
      <c r="E16" s="21"/>
      <c r="F16" s="63">
        <f>D16+E16</f>
        <v>0</v>
      </c>
      <c r="G16" s="153"/>
      <c r="H16" s="24"/>
      <c r="I16" s="39"/>
      <c r="J16" s="466"/>
      <c r="K16" s="21"/>
      <c r="L16" s="21"/>
      <c r="M16" s="63">
        <f>K16+L16</f>
        <v>0</v>
      </c>
    </row>
    <row r="17" spans="1:18" x14ac:dyDescent="0.25">
      <c r="A17" s="24"/>
      <c r="B17" s="39"/>
      <c r="C17" s="466"/>
      <c r="D17" s="21"/>
      <c r="E17" s="21"/>
      <c r="F17" s="63">
        <f>D17+E17</f>
        <v>0</v>
      </c>
      <c r="G17" s="153"/>
      <c r="H17" s="24"/>
      <c r="I17" s="39"/>
      <c r="J17" s="466"/>
      <c r="K17" s="21"/>
      <c r="L17" s="21"/>
      <c r="M17" s="63">
        <f>K17+L17</f>
        <v>0</v>
      </c>
    </row>
    <row r="18" spans="1:18" x14ac:dyDescent="0.25">
      <c r="A18" s="24"/>
      <c r="B18" s="39"/>
      <c r="C18" s="466"/>
      <c r="D18" s="21"/>
      <c r="E18" s="21"/>
      <c r="F18" s="63">
        <f>D18+E18</f>
        <v>0</v>
      </c>
      <c r="G18" s="153"/>
      <c r="H18" s="24"/>
      <c r="I18" s="39"/>
      <c r="J18" s="466"/>
      <c r="K18" s="21"/>
      <c r="L18" s="21"/>
      <c r="M18" s="63">
        <f>K18+L18</f>
        <v>0</v>
      </c>
    </row>
    <row r="19" spans="1:18" x14ac:dyDescent="0.25">
      <c r="A19" s="24"/>
      <c r="B19" s="39"/>
      <c r="C19" s="466"/>
      <c r="D19" s="21"/>
      <c r="E19" s="21"/>
      <c r="F19" s="63">
        <f>D19+E19</f>
        <v>0</v>
      </c>
      <c r="G19" s="153"/>
      <c r="H19" s="24"/>
      <c r="I19" s="39"/>
      <c r="J19" s="466"/>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499" t="s">
        <v>219</v>
      </c>
      <c r="B22" s="499"/>
      <c r="C22" s="499"/>
      <c r="D22" s="499"/>
      <c r="E22" s="499"/>
      <c r="F22" s="499"/>
      <c r="G22" s="78"/>
      <c r="H22" s="499" t="s">
        <v>219</v>
      </c>
      <c r="I22" s="499"/>
      <c r="J22" s="499"/>
      <c r="K22" s="499"/>
      <c r="L22" s="499"/>
      <c r="M22" s="499"/>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0" t="s">
        <v>219</v>
      </c>
      <c r="B26" s="500"/>
      <c r="C26" s="500"/>
      <c r="D26" s="500"/>
      <c r="E26" s="500"/>
      <c r="F26" s="199" t="s">
        <v>107</v>
      </c>
      <c r="G26" s="78"/>
      <c r="H26" s="500" t="s">
        <v>219</v>
      </c>
      <c r="I26" s="500"/>
      <c r="J26" s="500"/>
      <c r="K26" s="500"/>
      <c r="L26" s="500"/>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155</v>
      </c>
      <c r="B29" s="402" t="str">
        <f>IF('11. 17-18 Amounts'!B1="","",'11. 17-18 Amounts'!B1)</f>
        <v/>
      </c>
      <c r="C29" s="86"/>
      <c r="D29" s="196"/>
      <c r="E29" s="86"/>
      <c r="F29" s="86"/>
      <c r="H29" s="88" t="s">
        <v>158</v>
      </c>
      <c r="I29" s="402" t="str">
        <f>IF('11. 17-18 Amounts'!I1="","",'11. 17-18 Amounts'!I1)</f>
        <v/>
      </c>
      <c r="J29" s="86"/>
      <c r="K29" s="196"/>
      <c r="L29" s="86"/>
      <c r="M29" s="86"/>
      <c r="N29" s="87"/>
      <c r="O29" s="87"/>
      <c r="P29" s="83"/>
    </row>
    <row r="30" spans="1:18" x14ac:dyDescent="0.25">
      <c r="A30" s="89" t="s">
        <v>156</v>
      </c>
      <c r="B30" s="402" t="str">
        <f>IF('8. 16-17 Amounts'!B1="","",'8. 16-17 Amounts'!B1)</f>
        <v/>
      </c>
      <c r="C30" s="87"/>
      <c r="D30" s="197"/>
      <c r="E30" s="87"/>
      <c r="F30" s="86"/>
      <c r="G30" s="86"/>
      <c r="H30" s="89" t="s">
        <v>156</v>
      </c>
      <c r="I30" s="402" t="str">
        <f>IF('4. Multi-Year MOE Summary'!$C$9="","",'4. Multi-Year MOE Summary'!$C$9)</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157</v>
      </c>
      <c r="B34" s="357" t="str">
        <f>IF(B31&gt;=0,"",IF('3. Getting Started'!$B$7="No","",'8. 16-17 Amounts'!D30))</f>
        <v/>
      </c>
      <c r="C34" s="100" t="str">
        <f>IF(B31&gt;=0,"",IF('3. Getting Started'!$B$7="No","",'8. 16-17 Amounts'!F30))</f>
        <v/>
      </c>
      <c r="D34" s="101"/>
      <c r="E34" s="55"/>
      <c r="F34" s="55"/>
      <c r="G34" s="52"/>
      <c r="H34" s="188" t="s">
        <v>159</v>
      </c>
      <c r="I34" s="100" t="str">
        <f>IF(I31&gt;=0,"",IF('3. Getting Started'!$B$7="No","",'4. Multi-Year MOE Summary'!$D$9))</f>
        <v/>
      </c>
      <c r="J34" s="100" t="str">
        <f>IF(I31&gt;=0,"",IF('3. Getting Started'!$B$7="No","",'4. Multi-Year MOE Summary'!$F$9))</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8" t="s">
        <v>219</v>
      </c>
      <c r="B36" s="498"/>
      <c r="C36" s="498"/>
      <c r="D36" s="86"/>
      <c r="E36" s="86"/>
      <c r="F36" s="86"/>
      <c r="G36" s="103"/>
      <c r="H36" s="498" t="s">
        <v>219</v>
      </c>
      <c r="I36" s="498"/>
      <c r="J36" s="498"/>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310"/>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310"/>
      <c r="O39" s="310"/>
      <c r="P39" s="310"/>
      <c r="Q39" s="310"/>
      <c r="R39" s="310"/>
      <c r="S39" s="310"/>
      <c r="T39" s="310"/>
      <c r="U39" s="310"/>
      <c r="V39" s="310"/>
      <c r="W39" s="310"/>
      <c r="X39" s="310"/>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310"/>
      <c r="O46" s="310"/>
      <c r="P46" s="310"/>
      <c r="Q46" s="310"/>
      <c r="R46" s="310"/>
      <c r="S46" s="310"/>
      <c r="T46" s="310"/>
      <c r="U46" s="310"/>
      <c r="V46" s="310"/>
      <c r="W46" s="310"/>
      <c r="X46" s="310"/>
      <c r="Y46" s="109"/>
      <c r="Z46" s="109"/>
    </row>
    <row r="47" spans="1:29" ht="16.5" thickBot="1" x14ac:dyDescent="0.3">
      <c r="A47" s="496" t="s">
        <v>219</v>
      </c>
      <c r="B47" s="496"/>
      <c r="C47" s="496"/>
      <c r="D47" s="52"/>
      <c r="E47" s="52"/>
      <c r="F47" s="52"/>
      <c r="G47" s="103"/>
      <c r="H47" s="496" t="s">
        <v>219</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176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8" t="s">
        <v>219</v>
      </c>
      <c r="B57" s="498"/>
      <c r="D57" s="52"/>
      <c r="E57" s="52"/>
      <c r="F57" s="52"/>
      <c r="G57" s="103"/>
      <c r="H57" s="498" t="s">
        <v>219</v>
      </c>
      <c r="I57" s="498"/>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1" t="s">
        <v>219</v>
      </c>
      <c r="B67" s="491"/>
      <c r="H67" s="491" t="s">
        <v>219</v>
      </c>
      <c r="I67" s="491"/>
    </row>
    <row r="68" spans="1:13" ht="30" customHeight="1" x14ac:dyDescent="0.25">
      <c r="A68" s="177" t="s">
        <v>88</v>
      </c>
      <c r="B68" s="178"/>
      <c r="C68" s="355"/>
      <c r="D68" s="181"/>
      <c r="H68" s="177" t="s">
        <v>88</v>
      </c>
      <c r="I68" s="178"/>
      <c r="J68" s="355"/>
      <c r="K68" s="181"/>
    </row>
    <row r="69" spans="1:13" x14ac:dyDescent="0.25">
      <c r="A69" s="179" t="s">
        <v>63</v>
      </c>
      <c r="B69" s="184" t="s">
        <v>180</v>
      </c>
      <c r="C69" s="420" t="s">
        <v>224</v>
      </c>
      <c r="H69" s="179" t="s">
        <v>63</v>
      </c>
      <c r="I69" s="184" t="s">
        <v>97</v>
      </c>
      <c r="J69" s="420" t="s">
        <v>224</v>
      </c>
    </row>
    <row r="70" spans="1:13" x14ac:dyDescent="0.25">
      <c r="A70" s="336" t="s">
        <v>180</v>
      </c>
      <c r="B70" s="352">
        <v>0</v>
      </c>
      <c r="C70" s="477" t="s">
        <v>225</v>
      </c>
      <c r="H70" s="336" t="s">
        <v>71</v>
      </c>
      <c r="I70" s="352">
        <v>0</v>
      </c>
      <c r="J70" s="477" t="s">
        <v>225</v>
      </c>
    </row>
    <row r="71" spans="1:13" ht="30" customHeight="1" x14ac:dyDescent="0.25">
      <c r="A71" s="428" t="s">
        <v>258</v>
      </c>
      <c r="B71" s="453"/>
      <c r="C71" s="421"/>
      <c r="H71" s="437"/>
      <c r="I71" s="453"/>
      <c r="J71" s="421"/>
    </row>
    <row r="72" spans="1:13" x14ac:dyDescent="0.25">
      <c r="A72" s="427" t="s">
        <v>252</v>
      </c>
      <c r="B72" s="453"/>
      <c r="C72" s="421"/>
      <c r="H72" s="437"/>
      <c r="I72" s="453"/>
      <c r="J72" s="421"/>
    </row>
    <row r="73" spans="1:13" x14ac:dyDescent="0.25">
      <c r="A73" s="497" t="s">
        <v>221</v>
      </c>
      <c r="B73" s="497"/>
      <c r="C73" s="497"/>
      <c r="D73" s="497"/>
      <c r="E73" s="497"/>
      <c r="F73" s="497"/>
      <c r="G73" s="497"/>
      <c r="H73" s="497"/>
      <c r="I73" s="497"/>
      <c r="J73" s="497"/>
      <c r="K73" s="497"/>
      <c r="L73" s="497"/>
      <c r="M73" s="497"/>
    </row>
  </sheetData>
  <sheetProtection algorithmName="SHA-512" hashValue="Ev9AaLHe8V/t6wYQ9L0RBBuA+U5rx2G70i+8/1qrd9DRuBvIZOvsjDl3bXt0A3GLN6WF3bEo7hjBL3yCj5DmRQ==" saltValue="3R810nzyjnhBreB6mzuutA==" spinCount="100000" sheet="1" objects="1" scenarios="1" insertRows="0"/>
  <mergeCells count="27">
    <mergeCell ref="A73:M73"/>
    <mergeCell ref="A67:B67"/>
    <mergeCell ref="H22:M22"/>
    <mergeCell ref="H26:L26"/>
    <mergeCell ref="H36:J36"/>
    <mergeCell ref="H47:J47"/>
    <mergeCell ref="H57:I57"/>
    <mergeCell ref="H67:I67"/>
    <mergeCell ref="A22:F22"/>
    <mergeCell ref="A26:E26"/>
    <mergeCell ref="A36:C36"/>
    <mergeCell ref="A47:C47"/>
    <mergeCell ref="A57:B5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s>
  <conditionalFormatting sqref="A25">
    <cfRule type="containsText" dxfId="1255" priority="11" operator="containsText" text="Not eligible for this exception">
      <formula>NOT(ISERROR(SEARCH("Not eligible for this exception",A25)))</formula>
    </cfRule>
  </conditionalFormatting>
  <conditionalFormatting sqref="H25">
    <cfRule type="containsText" dxfId="1254" priority="10" operator="containsText" text="Not eligible for this exception">
      <formula>NOT(ISERROR(SEARCH("Not eligible for this exception",H25)))</formula>
    </cfRule>
  </conditionalFormatting>
  <conditionalFormatting sqref="B34:C35">
    <cfRule type="expression" dxfId="1253" priority="7">
      <formula>$B$31&gt;=0</formula>
    </cfRule>
  </conditionalFormatting>
  <conditionalFormatting sqref="I34:J35">
    <cfRule type="expression" dxfId="1252" priority="6">
      <formula>$I$31&gt;=0</formula>
    </cfRule>
  </conditionalFormatting>
  <conditionalFormatting sqref="B25:E25">
    <cfRule type="expression" dxfId="1251" priority="5">
      <formula>$B$31&gt;=0</formula>
    </cfRule>
  </conditionalFormatting>
  <conditionalFormatting sqref="I25:L25">
    <cfRule type="expression" dxfId="1250" priority="4">
      <formula>$I$31&gt;=0</formula>
    </cfRule>
  </conditionalFormatting>
  <hyperlinks>
    <hyperlink ref="C70" r:id="rId1"/>
    <hyperlink ref="J70" r:id="rId2"/>
    <hyperlink ref="A72" r:id="rId3" display="http://cifr.wested.org/resources/lea-moe/calculator/"/>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9" id="{843E7EBA-BCE2-4879-9102-F6FB4A573112}">
            <xm:f>'3. Getting Started'!$B$15="No"</xm:f>
            <x14:dxf>
              <fill>
                <patternFill>
                  <bgColor theme="1"/>
                </patternFill>
              </fill>
            </x14:dxf>
          </x14:cfRule>
          <xm:sqref>A60:B66</xm:sqref>
        </x14:conditionalFormatting>
        <x14:conditionalFormatting xmlns:xm="http://schemas.microsoft.com/office/excel/2006/main">
          <x14:cfRule type="expression" priority="8" id="{C20C72DD-DDD5-47FD-9B80-F5799217B530}">
            <xm:f>'3. Getting Started'!$B$15="No"</xm:f>
            <x14:dxf>
              <fill>
                <patternFill>
                  <bgColor theme="1"/>
                </patternFill>
              </fill>
            </x14:dxf>
          </x14:cfRule>
          <xm:sqref>H60:I66</xm:sqref>
        </x14:conditionalFormatting>
        <x14:conditionalFormatting xmlns:xm="http://schemas.microsoft.com/office/excel/2006/main">
          <x14:cfRule type="expression" priority="3" id="{D7DF5A1B-CB9B-4EBB-9670-0FDAA00DC874}">
            <xm:f>'3. Getting Started'!$B$7="Yes"</xm:f>
            <x14:dxf>
              <fill>
                <patternFill>
                  <bgColor theme="1"/>
                </patternFill>
              </fill>
            </x14:dxf>
          </x14:cfRule>
          <xm:sqref>B25:E25 I25:L25</xm:sqref>
        </x14:conditionalFormatting>
        <x14:conditionalFormatting xmlns:xm="http://schemas.microsoft.com/office/excel/2006/main">
          <x14:cfRule type="expression" priority="2" id="{72F57ED7-EF12-4C1E-BDAD-CE3E2D86498D}">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autoPageBreaks="0"/>
  </sheetPr>
  <dimension ref="A1:M35"/>
  <sheetViews>
    <sheetView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368" t="s">
        <v>205</v>
      </c>
      <c r="B1" s="378"/>
      <c r="D1" s="474" t="s">
        <v>254</v>
      </c>
      <c r="E1" s="475" t="str">
        <f>IF('3. Getting Started'!$B2="","",'3. Getting Started'!$B2)</f>
        <v/>
      </c>
      <c r="G1" s="486" t="s">
        <v>219</v>
      </c>
      <c r="H1" s="368" t="s">
        <v>204</v>
      </c>
      <c r="I1" s="34"/>
      <c r="K1" s="474" t="s">
        <v>254</v>
      </c>
      <c r="L1" s="475" t="str">
        <f>IF('3. Getting Started'!$B2="","",'3. Getting Started'!$B2)</f>
        <v/>
      </c>
    </row>
    <row r="2" spans="1:13" s="4" customFormat="1" ht="37.9" customHeight="1" thickBot="1" x14ac:dyDescent="0.3">
      <c r="A2" s="364" t="s">
        <v>213</v>
      </c>
      <c r="B2" s="11"/>
      <c r="C2" s="11"/>
      <c r="D2" s="11"/>
      <c r="E2" s="11"/>
      <c r="F2" s="365"/>
      <c r="G2" s="486"/>
      <c r="H2" s="364" t="s">
        <v>214</v>
      </c>
      <c r="I2" s="11"/>
      <c r="J2" s="11"/>
      <c r="K2" s="11"/>
      <c r="L2" s="11"/>
      <c r="M2" s="365"/>
    </row>
    <row r="3" spans="1:13" s="4" customFormat="1" ht="24" customHeight="1" x14ac:dyDescent="0.25">
      <c r="A3" s="206"/>
      <c r="B3" s="363"/>
      <c r="C3" s="363"/>
      <c r="D3" s="12" t="s">
        <v>151</v>
      </c>
      <c r="E3" s="13"/>
      <c r="F3" s="371"/>
      <c r="G3" s="486"/>
      <c r="H3" s="206"/>
      <c r="I3" s="363"/>
      <c r="J3" s="363"/>
      <c r="K3" s="12" t="s">
        <v>152</v>
      </c>
      <c r="L3" s="13"/>
      <c r="M3" s="372"/>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51" customFormat="1" ht="12" x14ac:dyDescent="0.2">
      <c r="A32" s="428" t="s">
        <v>258</v>
      </c>
      <c r="B32" s="447"/>
      <c r="C32" s="448"/>
      <c r="D32" s="449"/>
      <c r="E32" s="450"/>
      <c r="F32" s="449"/>
      <c r="G32" s="433"/>
      <c r="H32" s="447"/>
      <c r="I32" s="447"/>
      <c r="J32" s="448"/>
      <c r="K32" s="449"/>
      <c r="L32" s="450"/>
      <c r="M32" s="449"/>
    </row>
    <row r="33" spans="1:13" s="451" customFormat="1" ht="12" x14ac:dyDescent="0.2">
      <c r="A33" s="429" t="s">
        <v>252</v>
      </c>
      <c r="B33" s="447"/>
      <c r="C33" s="448"/>
      <c r="D33" s="449"/>
      <c r="E33" s="450"/>
      <c r="F33" s="449"/>
      <c r="G33" s="433"/>
      <c r="H33" s="447"/>
      <c r="I33" s="447"/>
      <c r="J33" s="448"/>
      <c r="K33" s="449"/>
      <c r="L33" s="450"/>
      <c r="M33" s="449"/>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SgCQBg6zOHPn9GjOqJ9Ut4FW5L4gUa6cMVMMdrbZ/yQkvrmeYBTBcH+0YmKum914AYZ4F3fcdz5AeenldFSGtQ==" saltValue="U/wkqGgICYbOtyy4QWSWhQ==" spinCount="100000" sheet="1" objects="1" scenarios="1" formatColumns="0" formatRows="0"/>
  <mergeCells count="2">
    <mergeCell ref="G1:G31"/>
    <mergeCell ref="A34:M34"/>
  </mergeCells>
  <hyperlinks>
    <hyperlink ref="A33" r:id="rId1" display="http://cifr.wested.org/resources/lea-moe/calculator/"/>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4389DB9D-8568-406D-892A-7EB8F46DE02B}">
            <xm:f>'3. Getting Started'!$B$6="No"</xm:f>
            <x14:dxf>
              <fill>
                <patternFill>
                  <bgColor theme="1"/>
                </patternFill>
              </fill>
            </x14:dxf>
          </x14:cfRule>
          <xm:sqref>D5:D31 K5:K31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autoPageBreaks="0"/>
  </sheetPr>
  <dimension ref="A1:P94"/>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110</v>
      </c>
      <c r="D1" s="218" t="s">
        <v>57</v>
      </c>
      <c r="G1" s="474" t="s">
        <v>254</v>
      </c>
      <c r="H1" s="475"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Summary'!$E$3:$E$9,1),'4. Multi-Year MOE Summary'!$A$3:$A$9),IF($B$1="Compliance",LOOKUP(2,1/SEARCH("Met",'4. Multi-Year MOE Summary'!$E$3:$E$10,1),'4. Multi-Year MOE Summary'!$A$3:$A$10),""))</f>
        <v>2010-2011</v>
      </c>
      <c r="C4" s="234"/>
      <c r="E4" s="232" t="s">
        <v>54</v>
      </c>
      <c r="F4" s="233" t="str">
        <f>IF($B$1="Eligibility",LOOKUP(2,1/SEARCH("Met",'4. Multi-Year MOE Summary'!$G$3:$G$9,1),'4. Multi-Year MOE Summary'!$A$3:$A$9),IF($B$1="Compliance",LOOKUP(2,1/SEARCH("Met",'4. Multi-Year MOE Summary'!$G$3:$G$10,1),'4. Multi-Year MOE Summary'!$A$3:$A$10),""))</f>
        <v>2010-2011</v>
      </c>
      <c r="G4" s="234"/>
      <c r="I4" s="235" t="s">
        <v>54</v>
      </c>
      <c r="J4" s="233" t="str">
        <f>IF($B$1="Eligibility",LOOKUP(2,1/SEARCH("Met",'4. Multi-Year MOE Summary'!$I$3:$I$9,1),'4. Multi-Year MOE Summary'!$A$3:$A$9),IF($B$1="Compliance",LOOKUP(2,1/SEARCH("Met",'4. Multi-Year MOE Summary'!$I$3:$I$10,1),'4. Multi-Year MOE Summary'!$A$3:$A$10),""))</f>
        <v>2010-2011</v>
      </c>
      <c r="K4" s="236"/>
      <c r="M4" s="235" t="s">
        <v>54</v>
      </c>
      <c r="N4" s="233" t="str">
        <f>IF($B$1="Eligibility",LOOKUP(2,1/SEARCH("Met",'4. Multi-Year MOE Summary'!$K$3:$K$9,1),'4. Multi-Year MOE Summary'!$A$3:$A$9),IF($B$1="Compliance",LOOKUP(2,1/SEARCH("Met",'4. Multi-Year MOE Summary'!$K$3:$K$10,1),'4. Multi-Year MOE Summary'!$A$3:$A$10),""))</f>
        <v>2010-2011</v>
      </c>
      <c r="O4" s="236"/>
    </row>
    <row r="5" spans="1:16" x14ac:dyDescent="0.25">
      <c r="A5" s="232" t="s">
        <v>20</v>
      </c>
      <c r="B5" s="233">
        <f>IF($B$1="Eligibility",LOOKUP(B4,'4. Multi-Year MOE Summary'!$A$3:$A$9,'4. Multi-Year MOE Summary'!$D$3:$D$9),IF($B$1="Compliance",LOOKUP(B4,'4. Multi-Year MOE Summary'!$A$3:$A$10,'4. Multi-Year MOE Summary'!$D$3:$D$10)))</f>
        <v>0</v>
      </c>
      <c r="C5" s="237"/>
      <c r="E5" s="232" t="s">
        <v>20</v>
      </c>
      <c r="F5" s="233">
        <f>IF($B$1="Eligibility",LOOKUP(F4,'4. Multi-Year MOE Summary'!$A$3:$A$9,'4. Multi-Year MOE Summary'!$F$3:$F$9),IF($B$1="Compliance",LOOKUP(F4,'4. Multi-Year MOE Summary'!$A$3:$A$10,'4. Multi-Year MOE Summary'!$F$3:$F$10)))</f>
        <v>0</v>
      </c>
      <c r="G5" s="237"/>
      <c r="H5" s="220"/>
      <c r="I5" s="235" t="s">
        <v>20</v>
      </c>
      <c r="J5" s="233" t="str">
        <f>IF($B$1="Eligibility",LOOKUP(J4,'4. Multi-Year MOE Summary'!$A$3:$A$9,'4. Multi-Year MOE Summary'!$H$3:$H$9),IF($B$1="Compliance",LOOKUP(J4,'4. Multi-Year MOE Summary'!$A$3:$A$10,'4. Multi-Year MOE Summary'!$H$3:$H$10)))</f>
        <v/>
      </c>
      <c r="K5" s="238"/>
      <c r="M5" s="235" t="s">
        <v>20</v>
      </c>
      <c r="N5" s="233" t="str">
        <f>IF($B$1="Eligibility",LOOKUP(N4,'4. Multi-Year MOE Summary'!$A$3:$A$9,'4. Multi-Year MOE Summary'!$J$3:$J$9),IF($B$1="Compliance",LOOKUP(N4,'4. Multi-Year MOE Summary'!$A$3:$A$10,'4. Multi-Year MOE Summary'!$J$3:$J$10)))</f>
        <v/>
      </c>
      <c r="O5" s="238"/>
    </row>
    <row r="6" spans="1:16" x14ac:dyDescent="0.25">
      <c r="A6" s="232" t="s">
        <v>171</v>
      </c>
      <c r="B6" s="239" t="str">
        <f>IF($B$1="Eligibility",'14. 18-19 Amounts'!D30,'14. 18-19 Amounts'!K30)</f>
        <v/>
      </c>
      <c r="C6" s="240" t="str">
        <f>IF(B6="","",IF(B6&gt;=B5,"Met","Did Not Meet"))</f>
        <v/>
      </c>
      <c r="D6" s="241" t="str">
        <f>IF(C6="","",IF(C6="Met","You have met MOE.","Add exception information."))</f>
        <v/>
      </c>
      <c r="E6" s="232" t="s">
        <v>171</v>
      </c>
      <c r="F6" s="239" t="str">
        <f>IF($B$1="Eligibility",'14. 18-19 Amounts'!F30,'14. 18-19 Amounts'!M30)</f>
        <v/>
      </c>
      <c r="G6" s="240" t="str">
        <f>IF(F6="","",IF(F6&gt;=F5,"Met","Did Not Meet"))</f>
        <v/>
      </c>
      <c r="H6" s="241" t="str">
        <f>IF(G6="","",IF(G6="Met","You have met MOE.","Add exception information."))</f>
        <v/>
      </c>
      <c r="I6" s="232" t="s">
        <v>171</v>
      </c>
      <c r="J6" s="239" t="str">
        <f>IF($B$1="Eligibility",'14. 18-19 Amounts'!D31,'14. 18-19 Amounts'!K31)</f>
        <v/>
      </c>
      <c r="K6" s="240" t="str">
        <f>IF(J6="","",IF(J6&gt;=J5,"Met","Did Not Meet"))</f>
        <v/>
      </c>
      <c r="L6" s="241" t="str">
        <f>IF(K6="","",IF(K6="Met","You have met MOE.","Add exception information."))</f>
        <v/>
      </c>
      <c r="M6" s="232" t="s">
        <v>171</v>
      </c>
      <c r="N6" s="239" t="str">
        <f>IF($B$1="Eligibility",'14. 18-19 Amounts'!F31,'14. 18-19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IF(C6="Met","NA",B76)</f>
        <v>0</v>
      </c>
      <c r="C8" s="240"/>
      <c r="D8" s="220"/>
      <c r="E8" s="232" t="s">
        <v>45</v>
      </c>
      <c r="F8" s="233">
        <f>IF(G6="Met","NA",F76)</f>
        <v>0</v>
      </c>
      <c r="G8" s="240"/>
      <c r="H8" s="220"/>
      <c r="I8" s="232" t="s">
        <v>45</v>
      </c>
      <c r="J8" s="233" t="str">
        <f>IF(K6="","",IF(K6="Met","NA",J77))</f>
        <v/>
      </c>
      <c r="K8" s="240"/>
      <c r="M8" s="232" t="s">
        <v>45</v>
      </c>
      <c r="N8" s="233" t="str">
        <f>IF(O6="","",IF(O6="Met","NA",N77))</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IF(C6="Met","NA",IF(C9="Met","NA",B89))</f>
        <v>0</v>
      </c>
      <c r="C10" s="240"/>
      <c r="D10" s="242"/>
      <c r="E10" s="232" t="s">
        <v>46</v>
      </c>
      <c r="F10" s="233">
        <f>IF(G6="Met","NA",IF(G9="Met","NA",F89))</f>
        <v>0</v>
      </c>
      <c r="G10" s="240"/>
      <c r="H10" s="242"/>
      <c r="I10" s="232" t="s">
        <v>46</v>
      </c>
      <c r="J10" s="233" t="str">
        <f>IF(K6="Met","NA",IF(K9="Met","NA",J91))</f>
        <v/>
      </c>
      <c r="K10" s="240"/>
      <c r="L10" s="242"/>
      <c r="M10" s="232" t="s">
        <v>46</v>
      </c>
      <c r="N10" s="233" t="str">
        <f>IF(O6="Met","NA",IF(O9="Met","NA",N91))</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1" t="s">
        <v>219</v>
      </c>
      <c r="B12" s="491"/>
      <c r="C12" s="491"/>
      <c r="E12" s="491" t="s">
        <v>219</v>
      </c>
      <c r="F12" s="491"/>
      <c r="G12" s="491"/>
      <c r="I12" s="491" t="s">
        <v>219</v>
      </c>
      <c r="J12" s="491"/>
      <c r="K12" s="491"/>
      <c r="M12" s="491" t="s">
        <v>219</v>
      </c>
      <c r="N12" s="491"/>
      <c r="O12" s="491"/>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54" t="s">
        <v>74</v>
      </c>
      <c r="F16" s="255" t="s">
        <v>75</v>
      </c>
      <c r="G16" s="252"/>
      <c r="H16" s="256"/>
      <c r="I16" s="254" t="s">
        <v>74</v>
      </c>
      <c r="J16" s="255" t="s">
        <v>75</v>
      </c>
      <c r="K16" s="252"/>
      <c r="L16" s="256"/>
      <c r="M16" s="254" t="s">
        <v>74</v>
      </c>
      <c r="N16" s="255" t="s">
        <v>75</v>
      </c>
      <c r="O16" s="252"/>
      <c r="P16" s="256"/>
    </row>
    <row r="17" spans="1:16" x14ac:dyDescent="0.25">
      <c r="A17" s="388" t="str">
        <f>IF(C$6="Met","","2018-19 Total")</f>
        <v>2018-19 Total</v>
      </c>
      <c r="B17" s="258">
        <f>IF(A17="","",IF($B$1="Eligibility",IF('16. 18-19 Exc &amp; Adj'!$F$21&lt;0,0,'16. 18-19 Exc &amp; Adj'!$F$21),IF($B$1="Compliance",IF('16. 18-19 Exc &amp; Adj'!$M$21&lt;0,0,'16. 18-19 Exc &amp; Adj'!$M$21))))</f>
        <v>0</v>
      </c>
      <c r="C17" s="252"/>
      <c r="D17" s="256"/>
      <c r="E17" s="321" t="str">
        <f>IF(G$6="Met","","2018-19 Total")</f>
        <v>2018-19 Total</v>
      </c>
      <c r="F17" s="258">
        <f>IF(E17="","",IF($B$1="Eligibility",IF('16. 18-19 Exc &amp; Adj'!$F$21&lt;0,0,'16. 18-19 Exc &amp; Adj'!$F$21),IF($B$1="Compliance",IF('16. 18-19 Exc &amp; Adj'!$M$21&lt;0,0,'16. 18-19 Exc &amp; Adj'!$M$21))))</f>
        <v>0</v>
      </c>
      <c r="G17" s="252"/>
      <c r="H17" s="256"/>
      <c r="I17" s="321" t="str">
        <f>IF(K$6="Met","","2018-19 Total")</f>
        <v>2018-19 Total</v>
      </c>
      <c r="J17" s="258">
        <f>IF(I17="","",IF($B$1="Eligibility",IF('16. 18-19 Exc &amp; Adj'!$F$21&lt;0,0,'16. 18-19 Exc &amp; Adj'!$F$21),IF($B$1="Compliance",IF('16. 18-19 Exc &amp; Adj'!$M$21&lt;0,0,'16. 18-19 Exc &amp; Adj'!$M$21))))</f>
        <v>0</v>
      </c>
      <c r="K17" s="252"/>
      <c r="L17" s="256"/>
      <c r="M17" s="321" t="str">
        <f>IF(O$6="Met","","2018-19 Total")</f>
        <v>2018-19 Total</v>
      </c>
      <c r="N17" s="258">
        <f>IF(M17="","",IF($B$1="Eligibility",IF('16. 18-19 Exc &amp; Adj'!$F$21&lt;0,0,'16. 18-19 Exc &amp; Adj'!$F$21),IF($B$1="Compliance",IF('16. 18-19 Exc &amp; Adj'!$M$21&lt;0,0,'16. 18-19 Exc &amp; Adj'!$M$21))))</f>
        <v>0</v>
      </c>
      <c r="O17" s="252"/>
      <c r="P17" s="256"/>
    </row>
    <row r="18" spans="1:16" x14ac:dyDescent="0.25">
      <c r="A18" s="388" t="str">
        <f>IF(C$6="Met","",IF(B$4="2017-2018","","2017-18 Total"))</f>
        <v>2017-18 Total</v>
      </c>
      <c r="B18" s="258">
        <f>IF(A18="","",IF($B$1="Eligibility",IF('13. 17-18 Exc &amp; Adj'!$F$21&lt;0,0,'13. 17-18 Exc &amp; Adj'!$F$21),IF($B$1="Compliance",IF('13. 17-18 Exc &amp; Adj'!$M$21&lt;0,0,'13. 17-18 Exc &amp; Adj'!$M$21))))</f>
        <v>0</v>
      </c>
      <c r="C18" s="252"/>
      <c r="D18" s="256"/>
      <c r="E18" s="257" t="str">
        <f>IF(G$6="Met","",IF(F$4="2017-2018","","2017-18 Total"))</f>
        <v>2017-18 Total</v>
      </c>
      <c r="F18" s="258">
        <f>IF(E18="","",IF($B$1="Eligibility",IF('13. 17-18 Exc &amp; Adj'!$F$21&lt;0,0,'13. 17-18 Exc &amp; Adj'!$F$21),IF($B$1="Compliance",IF('13. 17-18 Exc &amp; Adj'!$M$21&lt;0,0,'13. 17-18 Exc &amp; Adj'!$M$21))))</f>
        <v>0</v>
      </c>
      <c r="G18" s="252"/>
      <c r="H18" s="256"/>
      <c r="I18" s="257" t="str">
        <f>IF(K$6="Met","",IF(J$4="2017-2018","","2017-18 Total"))</f>
        <v>2017-18 Total</v>
      </c>
      <c r="J18" s="258">
        <f>IF(I18="","",IF($B$1="Eligibility",IF('13. 17-18 Exc &amp; Adj'!$F$21&lt;0,0,'13. 17-18 Exc &amp; Adj'!$F$21),IF($B$1="Compliance",IF('13. 17-18 Exc &amp; Adj'!$M$21&lt;0,0,'13. 17-18 Exc &amp; Adj'!$M$21))))</f>
        <v>0</v>
      </c>
      <c r="K18" s="252"/>
      <c r="L18" s="256"/>
      <c r="M18" s="257" t="str">
        <f>IF(O$6="Met","",IF(N$4="2017-2018","","2017-18 Total"))</f>
        <v>2017-18 Total</v>
      </c>
      <c r="N18" s="258">
        <f>IF(M18="","",IF($B$1="Eligibility",IF('13. 17-18 Exc &amp; Adj'!$F$21&lt;0,0,'13. 17-18 Exc &amp; Adj'!$F$21),IF($B$1="Compliance",IF('13. 17-18 Exc &amp; Adj'!$M$21&lt;0,0,'13. 17-18 Exc &amp; Adj'!$M$21))))</f>
        <v>0</v>
      </c>
      <c r="O18" s="252"/>
      <c r="P18" s="256"/>
    </row>
    <row r="19" spans="1:16" x14ac:dyDescent="0.25">
      <c r="A19" s="388" t="str">
        <f>IF(C$6="Met","",IF(OR(B$4="2017-2018",B$4="2016-2017"),"","2016-17 Total"))</f>
        <v>2016-17 Total</v>
      </c>
      <c r="B19" s="258">
        <f>IF(A19="","",IF('10. 16-17 Exc &amp; Adj'!$M$21&lt;0,0,'10. 16-17 Exc &amp; Adj'!$M$21))</f>
        <v>0</v>
      </c>
      <c r="C19" s="252"/>
      <c r="D19" s="256"/>
      <c r="E19" s="257" t="str">
        <f>IF(G$6="Met","",IF(OR(F$4="2017-2018",F$4="2016-2017"),"","2016-17 Total"))</f>
        <v>2016-17 Total</v>
      </c>
      <c r="F19" s="258">
        <f>IF(E19="","",IF('10. 16-17 Exc &amp; Adj'!$M$21&lt;0,0,'10. 16-17 Exc &amp; Adj'!$M$21))</f>
        <v>0</v>
      </c>
      <c r="G19" s="252"/>
      <c r="H19" s="256"/>
      <c r="I19" s="257" t="str">
        <f>IF(K$6="Met","",IF(OR(J$4="2017-2018",J$4="2016-2017"),"","2016-17 Total"))</f>
        <v>2016-17 Total</v>
      </c>
      <c r="J19" s="258">
        <f>IF(I19="","",IF('10. 16-17 Exc &amp; Adj'!$M$21&lt;0,0,'10. 16-17 Exc &amp; Adj'!$M$21))</f>
        <v>0</v>
      </c>
      <c r="K19" s="252"/>
      <c r="L19" s="256"/>
      <c r="M19" s="257" t="str">
        <f>IF(O$6="Met","",IF(OR(N$4="2017-2018",N$4="2016-2017"),"","2016-17 Total"))</f>
        <v>2016-17 Total</v>
      </c>
      <c r="N19" s="258">
        <f>IF(M19="","",IF('10. 16-17 Exc &amp; Adj'!$M$21&lt;0,0,'10. 16-17 Exc &amp; Adj'!$M$21))</f>
        <v>0</v>
      </c>
      <c r="O19" s="252"/>
      <c r="P19" s="256"/>
    </row>
    <row r="20" spans="1:16" x14ac:dyDescent="0.25">
      <c r="A20" s="388" t="str">
        <f>IF(C$6="Met","",IF(OR(B$4="2017-2018",B$4="2016-2017",B$4="2015-2016"),"","2015-16 Total"))</f>
        <v>2015-16 Total</v>
      </c>
      <c r="B20" s="258">
        <f>IF(A20="","",IF('7. 15-16 Exc &amp; Adj'!$M$21&lt;0,0,'7. 15-16 Exc &amp; Adj'!$M$21))</f>
        <v>0</v>
      </c>
      <c r="C20" s="252"/>
      <c r="D20" s="256"/>
      <c r="E20" s="257" t="str">
        <f>IF(G$6="Met","",IF(OR(F$4="2017-2018",F$4="2016-2017",F$4="2015-2016"),"","2015-16 Total"))</f>
        <v>2015-16 Total</v>
      </c>
      <c r="F20" s="258">
        <f>IF(E20="","",IF('7. 15-16 Exc &amp; Adj'!$M$21&lt;0,0,'7. 15-16 Exc &amp; Adj'!$M$21))</f>
        <v>0</v>
      </c>
      <c r="G20" s="252"/>
      <c r="H20" s="256"/>
      <c r="I20" s="257" t="str">
        <f>IF(K$6="Met","",IF(OR(J$4="2017-2018",J$4="2016-2017",J$4="2015-2016"),"","2015-16 Total"))</f>
        <v>2015-16 Total</v>
      </c>
      <c r="J20" s="258">
        <f>IF(I20="","",IF('7. 15-16 Exc &amp; Adj'!$M$21&lt;0,0,'7. 15-16 Exc &amp; Adj'!$M$21))</f>
        <v>0</v>
      </c>
      <c r="K20" s="252"/>
      <c r="L20" s="256"/>
      <c r="M20" s="257" t="str">
        <f>IF(O$6="Met","",IF(OR(N$4="2017-2018",N$4="2016-2017",N$4="2015-2016"),"","2015-16 Total"))</f>
        <v>2015-16 Total</v>
      </c>
      <c r="N20" s="258">
        <f>IF(M20="","",IF('7. 15-16 Exc &amp; Adj'!$M$21&lt;0,0,'7. 15-16 Exc &amp; Adj'!$M$21))</f>
        <v>0</v>
      </c>
      <c r="O20" s="252"/>
      <c r="P20" s="256"/>
    </row>
    <row r="21" spans="1:16" x14ac:dyDescent="0.25">
      <c r="A21" s="388" t="str">
        <f>IF(C$6="Met","",IF(OR(B$4="2017-2018",B$4="2016-2017",B$4="2015-2016",B$4="2014-2015"),"","2014-15 Total"))</f>
        <v>2014-15 Total</v>
      </c>
      <c r="B21" s="258">
        <f>IF(A21="","",IF('23. 14-15 Exc &amp; Adj'!F20&lt;0,0,'23. 14-15 Exc &amp; Adj'!F20))</f>
        <v>0</v>
      </c>
      <c r="C21" s="252"/>
      <c r="D21" s="256"/>
      <c r="E21" s="257" t="str">
        <f>IF(G$6="Met","",IF(OR(F$4="2017-2018",F$4="2016-2017",F$4="2015-2016",F$4="2014-2015"),"","2014-15 Total"))</f>
        <v>2014-15 Total</v>
      </c>
      <c r="F21" s="258">
        <f>IF(E21="","",IF('23. 14-15 Exc &amp; Adj'!F20&lt;0,0,'23. 14-15 Exc &amp; Adj'!F20))</f>
        <v>0</v>
      </c>
      <c r="G21" s="252"/>
      <c r="H21" s="256"/>
      <c r="I21" s="257" t="str">
        <f>IF(K$6="Met","",IF(OR(J$4="2017-2018",J$4="2016-2017",J$4="2015-2016",J$4="2014-2015"),"","2014-15 Total"))</f>
        <v>2014-15 Total</v>
      </c>
      <c r="J21" s="258">
        <f>IF(I21="","",IF('23. 14-15 Exc &amp; Adj'!F20&lt;0,0,'23. 14-15 Exc &amp; Adj'!F20))</f>
        <v>0</v>
      </c>
      <c r="K21" s="252"/>
      <c r="L21" s="256"/>
      <c r="M21" s="257" t="str">
        <f>IF(O$6="Met","",IF(OR(N$4="2017-2018",N$4="2016-2017",N$4="2015-2016",N$4="2014-2015"),"","2014-15 Total"))</f>
        <v>2014-15 Total</v>
      </c>
      <c r="N21" s="258">
        <f>IF(M21="","",IF('23. 14-15 Exc &amp; Adj'!F20&lt;0,0,'23. 14-15 Exc &amp; Adj'!F20))</f>
        <v>0</v>
      </c>
      <c r="O21" s="252"/>
      <c r="P21" s="256"/>
    </row>
    <row r="22" spans="1:16" x14ac:dyDescent="0.25">
      <c r="A22" s="288" t="str">
        <f>IF(C$6="Met","",IF(OR(B$4="2017-2018",B$4="2016-2017",B$4="2015-2016",B$4="2014-2015",B$4="2013-2014"),"","2013-14 Total"))</f>
        <v>2013-14 Total</v>
      </c>
      <c r="B22" s="258">
        <f>IF(A22="","",IF('22. 13-14 Exc &amp; Adj'!F20&lt;0,0,'22. 13-14 Exc &amp; Adj'!F20))</f>
        <v>0</v>
      </c>
      <c r="C22" s="252"/>
      <c r="D22" s="256"/>
      <c r="E22" s="259" t="str">
        <f>IF(G$6="Met","",IF(OR(F$4="2017-2018",F$4="2016-2017",F$4="2015-2016",F$4="2014-2015",F$4="2013-2014"),"","2013-14 Total"))</f>
        <v>2013-14 Total</v>
      </c>
      <c r="F22" s="258">
        <f>IF(E22="","",IF('22. 13-14 Exc &amp; Adj'!F20&lt;0,0,'22. 13-14 Exc &amp; Adj'!F20))</f>
        <v>0</v>
      </c>
      <c r="G22" s="252"/>
      <c r="H22" s="256"/>
      <c r="I22" s="259" t="str">
        <f>IF(K$6="Met","",IF(OR(J$4="2017-2018",J$4="2016-2017",J$4="2015-2016",J$4="2014-2015",J$4="2013-2014"),"","2013-14 Total"))</f>
        <v>2013-14 Total</v>
      </c>
      <c r="J22" s="258">
        <f>IF(I22="","",IF('22. 13-14 Exc &amp; Adj'!F20&lt;0,0,'22. 13-14 Exc &amp; Adj'!F20))</f>
        <v>0</v>
      </c>
      <c r="K22" s="252"/>
      <c r="L22" s="256"/>
      <c r="M22" s="259" t="str">
        <f>IF(O$6="Met","",IF(OR(N$4="2017-2018",N$4="2016-2017",N$4="2015-2016",N$4="2014-2015",N$4="2013-2014"),"","2013-14 Total"))</f>
        <v>2013-14 Total</v>
      </c>
      <c r="N22" s="258">
        <f>IF(M22="","",IF('22. 13-14 Exc &amp; Adj'!F20&lt;0,0,'22. 13-14 Exc &amp; Adj'!F20))</f>
        <v>0</v>
      </c>
      <c r="O22" s="252"/>
      <c r="P22" s="256"/>
    </row>
    <row r="23" spans="1:16" x14ac:dyDescent="0.25">
      <c r="A23" s="389" t="str">
        <f>IF(C$6="Met","",IF(OR(B$4="2017-2018",B$4="2016-2017",B$4="2015-2016",B$4="2014-2015",B$4="2013-2014",B$4="2012-2013"),"","2012-13 Total"))</f>
        <v>2012-13 Total</v>
      </c>
      <c r="B23" s="261">
        <f>IF(A23="","",IF('21. 12-13 Exc &amp; Adj'!F20&lt;0,0,'21. 12-13 Exc &amp; Adj'!F20))</f>
        <v>0</v>
      </c>
      <c r="C23" s="252"/>
      <c r="D23" s="256"/>
      <c r="E23" s="260" t="str">
        <f>IF(G$6="Met","",IF(OR(F$4="2017-2018",F$4="2016-2017",F$4="2015-2016",F$4="2014-2015",F$4="2013-2014",F$4="2012-2013"),"","2012-13 Total"))</f>
        <v>2012-13 Total</v>
      </c>
      <c r="F23" s="261">
        <f>IF(E23="","",IF('21. 12-13 Exc &amp; Adj'!F20&lt;0,0,'21. 12-13 Exc &amp; Adj'!F20))</f>
        <v>0</v>
      </c>
      <c r="G23" s="252"/>
      <c r="H23" s="256"/>
      <c r="I23" s="260" t="str">
        <f>IF(K$6="Met","",IF(OR(J$4="2017-2018",J$4="2016-2017",J$4="2015-2016",J$4="2014-2015",J$4="2013-2014",J$4="2012-2013"),"","2012-13 Total"))</f>
        <v>2012-13 Total</v>
      </c>
      <c r="J23" s="261">
        <f>IF(I23="","",IF('21. 12-13 Exc &amp; Adj'!F20&lt;0,0,'21. 12-13 Exc &amp; Adj'!F20))</f>
        <v>0</v>
      </c>
      <c r="K23" s="252"/>
      <c r="L23" s="256"/>
      <c r="M23" s="260" t="str">
        <f>IF(O$6="Met","",IF(OR(N$4="2017-2018",N$4="2016-2017",N$4="2015-2016",N$4="2014-2015",N$4="2013-2014",N$4="2012-2013"),"","2012-13 Total"))</f>
        <v>2012-13 Total</v>
      </c>
      <c r="N23" s="261">
        <f>IF(M23="","",IF('21. 12-13 Exc &amp; Adj'!F20&lt;0,0,'21. 12-13 Exc &amp; Adj'!F20))</f>
        <v>0</v>
      </c>
      <c r="O23" s="252"/>
      <c r="P23" s="256"/>
    </row>
    <row r="24" spans="1:16" x14ac:dyDescent="0.25">
      <c r="A24" s="394" t="str">
        <f>IF(C$6="Met","",IF(OR(B$4="2017-2018",B$4="2016-2017",B$4="2015-2016",B$4="2014-2015",B$4="2013-2014",B$4="2012-2013",B$4="2011-2012"),"","2011-12 Total"))</f>
        <v>2011-12 Total</v>
      </c>
      <c r="B24" s="386">
        <f>IF(A24="","",IF('20. 11-12 Exc &amp; Adj'!F20&lt;0,0,'20. 11-12 Exc &amp; Adj'!F20))</f>
        <v>0</v>
      </c>
      <c r="C24" s="252"/>
      <c r="D24" s="220"/>
      <c r="E24" s="385" t="str">
        <f>IF(G$6="Met","",IF(OR(F$4="2017-2018",F$4="2016-2017",F$4="2015-2016",F$4="2014-2015",F$4="2013-2014",F$4="2012-2013",F$4="2011-2012"),"","2011-12 Total"))</f>
        <v>2011-12 Total</v>
      </c>
      <c r="F24" s="386">
        <f>IF(E24="","",IF('20. 11-12 Exc &amp; Adj'!F20&lt;0,0,'20. 11-12 Exc &amp; Adj'!F20))</f>
        <v>0</v>
      </c>
      <c r="G24" s="252"/>
      <c r="H24" s="220"/>
      <c r="I24" s="385" t="str">
        <f>IF(K$6="Met","",IF(OR(J$4="2017-2018",J$4="2016-2017",J$4="2015-2016",J$4="2014-2015",J$4="2013-2014",J$4="2012-2013",J$4="2011-2012"),"","2011-12 Total"))</f>
        <v>2011-12 Total</v>
      </c>
      <c r="J24" s="386">
        <f>IF(I24="","",IF('20. 11-12 Exc &amp; Adj'!F20&lt;0,0,'20. 11-12 Exc &amp; Adj'!F20))</f>
        <v>0</v>
      </c>
      <c r="K24" s="252"/>
      <c r="M24" s="385" t="str">
        <f>IF(O$6="Met","",IF(OR(N$4="2017-2018",N$4="2016-2017",N$4="2015-2016",N$4="2014-2015",N$4="2013-2014",N$4="2012-2013",N$4="2011-2012"),"","2011-12 Total"))</f>
        <v>2011-12 Total</v>
      </c>
      <c r="N24" s="386">
        <f>IF(M24="","",IF('20. 11-12 Exc &amp; Adj'!F20&lt;0,0,'20. 11-12 Exc &amp; Adj'!F20))</f>
        <v>0</v>
      </c>
      <c r="O24" s="252"/>
    </row>
    <row r="25" spans="1:16" x14ac:dyDescent="0.25">
      <c r="A25" s="488" t="s">
        <v>219</v>
      </c>
      <c r="B25" s="489"/>
      <c r="C25" s="252"/>
      <c r="E25" s="488" t="s">
        <v>219</v>
      </c>
      <c r="F25" s="489"/>
      <c r="G25" s="252"/>
      <c r="I25" s="488" t="s">
        <v>219</v>
      </c>
      <c r="J25" s="489"/>
      <c r="K25" s="252"/>
      <c r="L25" s="219"/>
      <c r="M25" s="488" t="s">
        <v>219</v>
      </c>
      <c r="N25" s="489"/>
      <c r="O25" s="252"/>
      <c r="P25" s="219"/>
    </row>
    <row r="26" spans="1:16" x14ac:dyDescent="0.25">
      <c r="A26" s="262" t="s">
        <v>13</v>
      </c>
      <c r="B26" s="263"/>
      <c r="C26" s="264"/>
      <c r="D26" s="265"/>
      <c r="E26" s="262" t="s">
        <v>13</v>
      </c>
      <c r="F26" s="263"/>
      <c r="G26" s="264"/>
      <c r="H26" s="265"/>
      <c r="I26" s="262" t="s">
        <v>13</v>
      </c>
      <c r="J26" s="263"/>
      <c r="K26" s="264"/>
      <c r="L26" s="265"/>
      <c r="M26" s="262" t="s">
        <v>13</v>
      </c>
      <c r="N26" s="263"/>
      <c r="O26" s="264"/>
      <c r="P26" s="265"/>
    </row>
    <row r="27" spans="1:16" x14ac:dyDescent="0.25">
      <c r="A27" s="281" t="s">
        <v>74</v>
      </c>
      <c r="B27" s="255" t="s">
        <v>75</v>
      </c>
      <c r="C27" s="264"/>
      <c r="D27" s="265"/>
      <c r="E27" s="254" t="s">
        <v>74</v>
      </c>
      <c r="F27" s="255" t="s">
        <v>75</v>
      </c>
      <c r="G27" s="264"/>
      <c r="H27" s="265"/>
      <c r="I27" s="254" t="s">
        <v>74</v>
      </c>
      <c r="J27" s="255" t="s">
        <v>75</v>
      </c>
      <c r="K27" s="264"/>
      <c r="L27" s="265"/>
      <c r="M27" s="254" t="s">
        <v>74</v>
      </c>
      <c r="N27" s="255" t="s">
        <v>75</v>
      </c>
      <c r="O27" s="264"/>
      <c r="P27" s="265"/>
    </row>
    <row r="28" spans="1:16" x14ac:dyDescent="0.25">
      <c r="A28" s="397" t="str">
        <f>IF(C$6="Met","","2018-19 Total")</f>
        <v>2018-19 Total</v>
      </c>
      <c r="B28" s="258">
        <f>IF(A28="","",IF(AND($B$1="Eligibility",'16. 18-19 Exc &amp; Adj'!$B$31=""),0,(IF(AND($B$1="Eligibility",'16. 18-19 Exc &amp; Adj'!$B$31&gt;=0),"",IF(AND($B$1="Eligibility",'3. Getting Started'!$B$7="No"),'16. 18-19 Exc &amp; Adj'!$B$25,IF(AND($B$1="Eligibility",OR('3. Getting Started'!$B$7="Yes",'3. Getting Started'!$B$7="")),'16. 18-19 Exc &amp; Adj'!$B$35,IF(AND($B$1="Compliance",'16. 18-19 Exc &amp; Adj'!$I$31=""),0,IF(AND($B$1="Compliance",'16. 18-19 Exc &amp; Adj'!$I$31&gt;=0),"",IF(AND($B$1="Compliance",'3. Getting Started'!$B$7="No"),'16. 18-19 Exc &amp; Adj'!$I$25,IF(AND($B$1="Compliance",OR('3. Getting Started'!$B$7="Yes",'3. Getting Started'!$B$7="")),'16. 18-19 Exc &amp; Adj'!$I$35))))))))))</f>
        <v>0</v>
      </c>
      <c r="C28" s="264"/>
      <c r="D28" s="265"/>
      <c r="E28" s="321" t="str">
        <f>IF(G$6="Met","","2018-19 Total")</f>
        <v>2018-19 Total</v>
      </c>
      <c r="F28" s="258">
        <f>IF(E28="","",IF(AND($B$1="Eligibility",'16. 18-19 Exc &amp; Adj'!$B$31=""),0,(IF(AND($B$1="Eligibility",'16. 18-19 Exc &amp; Adj'!$B$31&gt;=0),"",IF(AND($B$1="Eligibility",'3. Getting Started'!$B$7="No"),'16. 18-19 Exc &amp; Adj'!$C$25,IF(AND($B$1="Eligibility",OR('3. Getting Started'!$B$7="Yes",'3. Getting Started'!$B$7="")),'16. 18-19 Exc &amp; Adj'!$C$35,IF(AND($B$1="Compliance",'16. 18-19 Exc &amp; Adj'!$I$31=""),0,IF(AND($B$1="Compliance",'16. 18-19 Exc &amp; Adj'!$I$31&gt;=0),"",IF(AND($B$1="Compliance",'3. Getting Started'!$B$7="No"),'16. 18-19 Exc &amp; Adj'!$J$25,IF(AND($B$1="Compliance",OR('3. Getting Started'!$B$7="Yes",'3. Getting Started'!$B$7="")),'16. 18-19 Exc &amp; Adj'!$J$35))))))))))</f>
        <v>0</v>
      </c>
      <c r="G28" s="264"/>
      <c r="H28" s="265"/>
      <c r="I28" s="321" t="str">
        <f>IF(K$6="Met","","2018-19 Total")</f>
        <v>2018-19 Total</v>
      </c>
      <c r="J28" s="258">
        <f>IF(I28="","",IF(AND($B$1="Eligibility",'16. 18-19 Exc &amp; Adj'!$B$31=""),0,(IF(AND($B$1="Eligibility",'16. 18-19 Exc &amp; Adj'!$B$31&gt;=0),"",IF(AND($B$1="Eligibility",'3. Getting Started'!$B$7="No"),'16. 18-19 Exc &amp; Adj'!$D$25,IF(AND($B$1="Eligibility",OR('3. Getting Started'!$B$7="Yes",'3. Getting Started'!$B$7="")),'16. 18-19 Exc &amp; Adj'!$B$35,IF(AND($B$1="Compliance",'16. 18-19 Exc &amp; Adj'!$I$31=""),0,IF(AND($B$1="Compliance",'16. 18-19 Exc &amp; Adj'!$I$31&gt;=0),"",IF(AND($B$1="Compliance",'3. Getting Started'!$B$7="No"),'16. 18-19 Exc &amp; Adj'!$K$25,IF(AND($B$1="Compliance",OR('3. Getting Started'!$B$7="Yes",'3. Getting Started'!$B$7="")),'16. 18-19 Exc &amp; Adj'!$I$35))))))))))</f>
        <v>0</v>
      </c>
      <c r="K28" s="264"/>
      <c r="L28" s="265"/>
      <c r="M28" s="321" t="str">
        <f>IF(O$6="Met","","2018-19 Total")</f>
        <v>2018-19 Total</v>
      </c>
      <c r="N28" s="258">
        <f>IF(M28="","",IF(AND($B$1="Eligibility",'16. 18-19 Exc &amp; Adj'!$B$31=""),0,(IF(AND($B$1="Eligibility",'16. 18-19 Exc &amp; Adj'!$B$31&gt;=0),"",IF(AND($B$1="Eligibility",'3. Getting Started'!$B$7="No"),'16. 18-19 Exc &amp; Adj'!$E$25,IF(AND($B$1="Eligibility",OR('3. Getting Started'!$B$7="Yes",'3. Getting Started'!$B$7="")),'16. 18-19 Exc &amp; Adj'!$C$35,IF(AND($B$1="Compliance",'16. 18-19 Exc &amp; Adj'!$I$31=""),0,IF(AND($B$1="Compliance",'16. 18-19 Exc &amp; Adj'!$I$31&gt;=0),"",IF(AND($B$1="Compliance",'3. Getting Started'!$B$7="No"),'16. 18-19 Exc &amp; Adj'!$L$25,IF(AND($B$1="Compliance",OR('3. Getting Started'!$B$7="Yes",'3. Getting Started'!$B$7="")),'16. 18-19 Exc &amp; Adj'!$J$35))))))))))</f>
        <v>0</v>
      </c>
      <c r="O28" s="264"/>
      <c r="P28" s="265"/>
    </row>
    <row r="29" spans="1:16" x14ac:dyDescent="0.25">
      <c r="A29" s="388" t="str">
        <f>IF(C$6="Met","",IF(B$4="2017-2018","","2017-18 Total"))</f>
        <v>2017-18 Total</v>
      </c>
      <c r="B29" s="258">
        <f>IF(A29="","",IF(AND($B$1="Eligibility",'13. 17-18 Exc &amp; Adj'!$B$31=""),0,(IF(AND($B$1="Eligibility",'13. 17-18 Exc &amp; Adj'!$B$31&gt;=0),"",IF(AND($B$1="Eligibility",'3. Getting Started'!$B$7="No"),'13. 17-18 Exc &amp; Adj'!$B$25,IF(AND($B$1="Eligibility",OR('3. Getting Started'!$B$7="Yes",'3. Getting Started'!$B$7="")),'13. 17-18 Exc &amp; Adj'!$B$35,IF(AND($B$1="Compliance",'13. 17-18 Exc &amp; Adj'!$I$31=""),0,IF(AND($B$1="Compliance",'13. 17-18 Exc &amp; Adj'!$I$31&gt;=0),"",IF(AND($B$1="Compliance",'3. Getting Started'!$B$7="No"),'13. 17-18 Exc &amp; Adj'!$I$25,IF(AND($B$1="Compliance",OR('3. Getting Started'!$B$7="Yes",'3. Getting Started'!$B$7="")),'13. 17-18 Exc &amp; Adj'!$I$35))))))))))</f>
        <v>0</v>
      </c>
      <c r="C29" s="264"/>
      <c r="D29" s="311"/>
      <c r="E29" s="257" t="str">
        <f>IF(G$6="Met","",IF(F$4="2017-2018","","2017-18 Total"))</f>
        <v>2017-18 Total</v>
      </c>
      <c r="F29" s="258">
        <f>IF(E29="","",IF(AND($B$1="Eligibility",'13. 17-18 Exc &amp; Adj'!$B$31=""),0,(IF(AND($B$1="Eligibility",'13. 17-18 Exc &amp; Adj'!$B$31&gt;=0),"",IF(AND($B$1="Eligibility",'3. Getting Started'!$B$7="No"),'13. 17-18 Exc &amp; Adj'!$C$25,IF(AND($B$1="Eligibility",OR('3. Getting Started'!$B$7="Yes",'3. Getting Started'!$B$7="")),'13. 17-18 Exc &amp; Adj'!$C$35,IF(AND($B$1="Compliance",'13. 17-18 Exc &amp; Adj'!$I$31=""),0,IF(AND($B$1="Compliance",'13. 17-18 Exc &amp; Adj'!$I$31&gt;=0),"",IF(AND($B$1="Compliance",'3. Getting Started'!$B$7="No"),'13. 17-18 Exc &amp; Adj'!$J$25,IF(AND($B$1="Compliance",OR('3. Getting Started'!$B$7="Yes",'3. Getting Started'!$B$7="")),'13. 17-18 Exc &amp; Adj'!$J$35))))))))))</f>
        <v>0</v>
      </c>
      <c r="G29" s="264"/>
      <c r="H29" s="220"/>
      <c r="I29" s="257" t="str">
        <f>IF(K$6="Met","",IF(J$4="2017-2018","","2017-18 Total"))</f>
        <v>2017-18 Total</v>
      </c>
      <c r="J29" s="258">
        <f>IF(I29="","",IF(AND($B$1="Eligibility",'13. 17-18 Exc &amp; Adj'!$B$31=""),0,(IF(AND($B$1="Eligibility",'13. 17-18 Exc &amp; Adj'!$B$31&gt;=0),"",IF(AND($B$1="Eligibility",'3. Getting Started'!$B$7="No"),'13. 17-18 Exc &amp; Adj'!$D$25,IF(AND($B$1="Eligibility",OR('3. Getting Started'!$B$7="Yes",'3. Getting Started'!$B$7="")),'13. 17-18 Exc &amp; Adj'!$B$35,IF(AND($B$1="Compliance",'13. 17-18 Exc &amp; Adj'!$I$31=""),0,IF(AND($B$1="Compliance",'13. 17-18 Exc &amp; Adj'!$I$31&gt;=0),"",IF(AND($B$1="Compliance",'3. Getting Started'!$B$7="No"),'13. 17-18 Exc &amp; Adj'!$K$25,IF(AND($B$1="Compliance",OR('3. Getting Started'!$B$7="Yes",'3. Getting Started'!$B$7="")),'13. 17-18 Exc &amp; Adj'!$I$35))))))))))</f>
        <v>0</v>
      </c>
      <c r="K29" s="264"/>
      <c r="M29" s="257" t="str">
        <f>IF(O$6="Met","",IF(N$4="2017-2018","","2017-18 Total"))</f>
        <v>2017-18 Total</v>
      </c>
      <c r="N29" s="258">
        <f>IF(M29="","",IF(AND($B$1="Eligibility",'13. 17-18 Exc &amp; Adj'!$B$31=""),0,(IF(AND($B$1="Eligibility",'13. 17-18 Exc &amp; Adj'!$B$31&gt;=0),"",IF(AND($B$1="Eligibility",'3. Getting Started'!$B$7="No"),'13. 17-18 Exc &amp; Adj'!$E$25,IF(AND($B$1="Eligibility",OR('3. Getting Started'!$B$7="Yes",'3. Getting Started'!$B$7="")),'13. 17-18 Exc &amp; Adj'!$C$35,IF(AND($B$1="Compliance",'13. 17-18 Exc &amp; Adj'!$I$31=""),0,IF(AND($B$1="Compliance",'13. 17-18 Exc &amp; Adj'!$I$31&gt;=0),"",IF(AND($B$1="Compliance",'3. Getting Started'!$B$7="No"),'13. 17-18 Exc &amp; Adj'!$L$25,IF(AND($B$1="Compliance",OR('3. Getting Started'!$B$7="Yes",'3. Getting Started'!$B$7="")),'13. 17-18 Exc &amp; Adj'!$J$35))))))))))</f>
        <v>0</v>
      </c>
      <c r="O29" s="264"/>
    </row>
    <row r="30" spans="1:16" x14ac:dyDescent="0.25">
      <c r="A30" s="388" t="str">
        <f>IF(C$6="Met","",IF(OR(B$4="2017-2018",B$4="2016-2017"),"","2016-17 Total"))</f>
        <v>2016-17 Total</v>
      </c>
      <c r="B30" s="258">
        <f>IF(A30="","",IF('10. 16-17 Exc &amp; Adj'!$I$31="",0,IF('10. 16-17 Exc &amp; Adj'!$I$31&gt;=0,"",IF('3. Getting Started'!$B$7="No",'10. 16-17 Exc &amp; Adj'!$I$25,IF(OR('3. Getting Started'!$B$7="Yes",'3. Getting Started'!$B$7=""),'10. 16-17 Exc &amp; Adj'!$I$35)))))</f>
        <v>0</v>
      </c>
      <c r="C30" s="264"/>
      <c r="D30" s="220"/>
      <c r="E30" s="257" t="str">
        <f>IF(G$6="Met","",IF(OR(F$4="2017-2018",F$4="2016-2017"),"","2016-17 Total"))</f>
        <v>2016-17 Total</v>
      </c>
      <c r="F30" s="258">
        <f>IF(E30="","",IF('10. 16-17 Exc &amp; Adj'!$I$31="",0,IF('10. 16-17 Exc &amp; Adj'!$I$31&gt;=0,"",IF('3. Getting Started'!$B$7="No",'10. 16-17 Exc &amp; Adj'!$J$25,IF(OR('3. Getting Started'!$B$7="Yes",'3. Getting Started'!$B$7=""),'10. 16-17 Exc &amp; Adj'!$J$35)))))</f>
        <v>0</v>
      </c>
      <c r="G30" s="264"/>
      <c r="H30" s="220"/>
      <c r="I30" s="257" t="str">
        <f>IF(K$6="Met","",IF(OR(J$4="2017-2018",J$4="2016-2017"),"","2016-17 Total"))</f>
        <v>2016-17 Total</v>
      </c>
      <c r="J30" s="258">
        <f>IF(I30="","",IF('10. 16-17 Exc &amp; Adj'!$I$31="",0,IF('10. 16-17 Exc &amp; Adj'!$I$31&gt;=0,"",IF('3. Getting Started'!$B$7="No",'10. 16-17 Exc &amp; Adj'!$K$25,IF(OR('3. Getting Started'!$B$7="Yes",'3. Getting Started'!$B$7=""),'10. 16-17 Exc &amp; Adj'!$I$35)))))</f>
        <v>0</v>
      </c>
      <c r="K30" s="264"/>
      <c r="M30" s="257" t="str">
        <f>IF(O$6="Met","",IF(OR(N$4="2017-2018",N$4="2016-2017"),"","2016-17 Total"))</f>
        <v>2016-17 Total</v>
      </c>
      <c r="N30" s="258">
        <f>IF(M30="","",IF('10. 16-17 Exc &amp; Adj'!$I$31="",0,IF('10. 16-17 Exc &amp; Adj'!$I$31&gt;=0,"",IF('3. Getting Started'!$B$7="No",'10. 16-17 Exc &amp; Adj'!$L$25,IF(OR('3. Getting Started'!$B$7="Yes",'3. Getting Started'!$B$7=""),'10. 16-17 Exc &amp; Adj'!$J$35)))))</f>
        <v>0</v>
      </c>
      <c r="O30" s="264"/>
    </row>
    <row r="31" spans="1:16" x14ac:dyDescent="0.25">
      <c r="A31" s="388" t="str">
        <f>IF(C$6="Met","",IF(OR(B$4="2017-2018",B$4="2016-2017",B$4="2015-2016"),"","2015-16 Total"))</f>
        <v>2015-16 Total</v>
      </c>
      <c r="B31" s="258">
        <f>IF(A31="","",IF('7. 15-16 Exc &amp; Adj'!$I$31="",0,IF('7. 15-16 Exc &amp; Adj'!$I$31&gt;=0,"",IF('3. Getting Started'!$B$7="No",'7. 15-16 Exc &amp; Adj'!$I$25,IF(OR('3. Getting Started'!$B$7="Yes",'3. Getting Started'!$B$7=""),'7. 15-16 Exc &amp; Adj'!$I$35)))))</f>
        <v>0</v>
      </c>
      <c r="C31" s="264"/>
      <c r="D31" s="220"/>
      <c r="E31" s="257" t="str">
        <f>IF(G$6="Met","",IF(OR(F$4="2017-2018",F$4="2016-2017",F$4="2015-2016"),"","2015-16 Total"))</f>
        <v>2015-16 Total</v>
      </c>
      <c r="F31" s="258">
        <f>IF(E31="","",IF('7. 15-16 Exc &amp; Adj'!$I$31="",0,IF('7. 15-16 Exc &amp; Adj'!$I$31&gt;=0,"",IF('3. Getting Started'!$B$7="No",'7. 15-16 Exc &amp; Adj'!$J$25,IF(OR('3. Getting Started'!$B$7="Yes",'3. Getting Started'!$B$7=""),'7. 15-16 Exc &amp; Adj'!$J$35)))))</f>
        <v>0</v>
      </c>
      <c r="G31" s="264"/>
      <c r="H31" s="220"/>
      <c r="I31" s="257" t="str">
        <f>IF(K$6="Met","",IF(OR(J$4="2017-2018",J$4="2016-2017",J$4="2015-2016"),"","2015-16 Total"))</f>
        <v>2015-16 Total</v>
      </c>
      <c r="J31" s="258">
        <f>IF(I31="","",IF('7. 15-16 Exc &amp; Adj'!$I$31="",0,IF('7. 15-16 Exc &amp; Adj'!$I$31&gt;=0,"",IF('3. Getting Started'!$B$7="No",'7. 15-16 Exc &amp; Adj'!$K$25,IF(OR('3. Getting Started'!$B$7="Yes",'3. Getting Started'!$B$7=""),'7. 15-16 Exc &amp; Adj'!$I$35)))))</f>
        <v>0</v>
      </c>
      <c r="K31" s="264"/>
      <c r="M31" s="257" t="str">
        <f>IF(O$6="Met","",IF(OR(N$4="2017-2018",N$4="2016-2017",N$4="2015-2016"),"","2015-16 Total"))</f>
        <v>2015-16 Total</v>
      </c>
      <c r="N31" s="258">
        <f>IF(M31="","",IF('7. 15-16 Exc &amp; Adj'!$I$31="",0,IF('7. 15-16 Exc &amp; Adj'!$I$31&gt;=0,"",IF('3. Getting Started'!$B$7="No",'7. 15-16 Exc &amp; Adj'!$L$25,IF(OR('3. Getting Started'!$B$7="Yes",'3. Getting Started'!$B$7=""),'7. 15-16 Exc &amp; Adj'!$J$35)))))</f>
        <v>0</v>
      </c>
      <c r="O31" s="264"/>
    </row>
    <row r="32" spans="1:16" x14ac:dyDescent="0.25">
      <c r="A32" s="388" t="str">
        <f>IF(C$6="Met","",IF(OR(B$4="2017-2018",B$4="2016-2017",B$4="2015-2016",B$4="2014-2015"),"","2014-15 Total"))</f>
        <v>2014-15 Total</v>
      </c>
      <c r="B32" s="258">
        <f>IF(A32="","",IF('23. 14-15 Exc &amp; Adj'!$B$30="",0,(IF('23. 14-15 Exc &amp; Adj'!$B$30&gt;=0,"",IF('3. Getting Started'!$B$7="No",'23. 14-15 Exc &amp; Adj'!B$24,'23. 14-15 Exc &amp; Adj'!B$34)))))</f>
        <v>0</v>
      </c>
      <c r="C32" s="264"/>
      <c r="D32" s="265"/>
      <c r="E32" s="257" t="str">
        <f>IF(G$6="Met","",IF(OR(F$4="2017-2018",F$4="2016-2017",F$4="2015-2016",F$4="2014-2015"),"","2014-15 Total"))</f>
        <v>2014-15 Total</v>
      </c>
      <c r="F32" s="258">
        <f>IF(E32="","",IF('23. 14-15 Exc &amp; Adj'!$B$30="",0,IF('23. 14-15 Exc &amp; Adj'!B30&gt;=0,"",IF('3. Getting Started'!B7="No",'23. 14-15 Exc &amp; Adj'!C24,'23. 14-15 Exc &amp; Adj'!C34))))</f>
        <v>0</v>
      </c>
      <c r="G32" s="264"/>
      <c r="H32" s="265"/>
      <c r="I32" s="257" t="str">
        <f>IF(K$6="Met","",IF(OR(J$4="2017-2018",J$4="2016-2017",J$4="2015-2016",J$4="2014-2015"),"","2014-15 Total"))</f>
        <v>2014-15 Total</v>
      </c>
      <c r="J32" s="258">
        <f>IF(I32="","",IF('23. 14-15 Exc &amp; Adj'!$B$30="",0,IF('23. 14-15 Exc &amp; Adj'!B30&gt;=0,"",IF('3. Getting Started'!B7="No",'23. 14-15 Exc &amp; Adj'!D24,'23. 14-15 Exc &amp; Adj'!B34))))</f>
        <v>0</v>
      </c>
      <c r="K32" s="264"/>
      <c r="L32" s="265"/>
      <c r="M32" s="257" t="str">
        <f>IF(O$6="Met","",IF(OR(N$4="2017-2018",N$4="2016-2017",N$4="2015-2016",N$4="2014-2015"),"","2014-15 Total"))</f>
        <v>2014-15 Total</v>
      </c>
      <c r="N32" s="258">
        <f>IF(M32="","",IF('23. 14-15 Exc &amp; Adj'!$B$30="",0,IF('23. 14-15 Exc &amp; Adj'!B30&gt;=0,"",IF('3. Getting Started'!B7="No",'23. 14-15 Exc &amp; Adj'!E24,'23. 14-15 Exc &amp; Adj'!C34))))</f>
        <v>0</v>
      </c>
      <c r="O32" s="264"/>
      <c r="P32" s="265"/>
    </row>
    <row r="33" spans="1:16" x14ac:dyDescent="0.25">
      <c r="A33" s="288" t="str">
        <f>IF(C$6="Met","",IF(OR(B$4="2017-2018",B$4="2016-2017",B$4="2015-2016",B$4="2014-2015",B$4="2013-2014"),"","2013-14 Total"))</f>
        <v>2013-14 Total</v>
      </c>
      <c r="B33" s="258">
        <f>IF(A33="","",IF('22. 13-14 Exc &amp; Adj'!$B$30="",0,IF('22. 13-14 Exc &amp; Adj'!$B$30&gt;="",0,IF('3. Getting Started'!$B$7="No",'22. 13-14 Exc &amp; Adj'!$B$24,'22. 13-14 Exc &amp; Adj'!$B$34))))</f>
        <v>0</v>
      </c>
      <c r="C33" s="264"/>
      <c r="D33" s="265"/>
      <c r="E33" s="259" t="str">
        <f>IF(G$6="Met","",IF(OR(F$4="2017-2018",F$4="2016-2017",F$4="2015-2016",F$4="2014-2015",F$4="2013-2014"),"","2013-14 Total"))</f>
        <v>2013-14 Total</v>
      </c>
      <c r="F33" s="258">
        <f>IF(E33="","",IF('22. 13-14 Exc &amp; Adj'!$B$30="",0,IF('22. 13-14 Exc &amp; Adj'!B30&gt;=0,"",IF('3. Getting Started'!B7="No",'22. 13-14 Exc &amp; Adj'!C24,'22. 13-14 Exc &amp; Adj'!C34))))</f>
        <v>0</v>
      </c>
      <c r="G33" s="264"/>
      <c r="H33" s="265"/>
      <c r="I33" s="259" t="str">
        <f>IF(K$6="Met","",IF(OR(J$4="2017-2018",J$4="2016-2017",J$4="2015-2016",J$4="2014-2015",J$4="2013-2014"),"","2013-14 Total"))</f>
        <v>2013-14 Total</v>
      </c>
      <c r="J33" s="258">
        <f>IF(I33="","",IF('22. 13-14 Exc &amp; Adj'!$B$30="",0,IF('22. 13-14 Exc &amp; Adj'!B30&gt;=0,"",IF('3. Getting Started'!B7="No",'22. 13-14 Exc &amp; Adj'!D24,'22. 13-14 Exc &amp; Adj'!B34))))</f>
        <v>0</v>
      </c>
      <c r="K33" s="264"/>
      <c r="L33" s="265"/>
      <c r="M33" s="259" t="str">
        <f>IF(O$6="Met","",IF(OR(N$4="2017-2018",N$4="2016-2017",N$4="2015-2016",N$4="2014-2015",N$4="2013-2014"),"","2013-14 Total"))</f>
        <v>2013-14 Total</v>
      </c>
      <c r="N33" s="258">
        <f>IF(M33="","",IF('22. 13-14 Exc &amp; Adj'!$B$30="",0,IF('22. 13-14 Exc &amp; Adj'!B30&gt;=0,"",IF('3. Getting Started'!B7="No",'22. 13-14 Exc &amp; Adj'!E24,'22. 13-14 Exc &amp; Adj'!C34))))</f>
        <v>0</v>
      </c>
      <c r="O33" s="264"/>
      <c r="P33" s="265"/>
    </row>
    <row r="34" spans="1:16" x14ac:dyDescent="0.25">
      <c r="A34" s="389" t="str">
        <f>IF(C$6="Met","",IF(OR(B$4="2017-2018",B$4="2016-2017",B$4="2015-2016",B$4="2014-2015",B$4="2013-2014",B$4="2012-2013"),"","2012-13 Total"))</f>
        <v>2012-13 Total</v>
      </c>
      <c r="B34" s="261">
        <f>IF(A34="","",IF('21. 12-13 Exc &amp; Adj'!$B$30="",0,IF('21. 12-13 Exc &amp; Adj'!B30&gt;=0,"",IF('3. Getting Started'!B7="No",'21. 12-13 Exc &amp; Adj'!B24,'21. 12-13 Exc &amp; Adj'!B34))))</f>
        <v>0</v>
      </c>
      <c r="C34" s="264"/>
      <c r="D34" s="265"/>
      <c r="E34" s="260" t="str">
        <f>IF(G$6="Met","",IF(OR(F$4="2017-2018",F$4="2016-2017",F$4="2015-2016",F$4="2014-2015",F$4="2013-2014",F$4="2012-2013"),"","2012-13 Total"))</f>
        <v>2012-13 Total</v>
      </c>
      <c r="F34" s="261">
        <f>IF(E34="","",IF('21. 12-13 Exc &amp; Adj'!$B$30="",0,IF('21. 12-13 Exc &amp; Adj'!B30&gt;=0,"",IF('3. Getting Started'!B7="No",'21. 12-13 Exc &amp; Adj'!C24,'21. 12-13 Exc &amp; Adj'!C34))))</f>
        <v>0</v>
      </c>
      <c r="G34" s="264"/>
      <c r="H34" s="265"/>
      <c r="I34" s="260" t="str">
        <f>IF(K$6="Met","",IF(OR(J$4="2017-2018",J$4="2016-2017",J$4="2015-2016",J$4="2014-2015",J$4="2013-2014",J$4="2012-2013"),"","2012-13 Total"))</f>
        <v>2012-13 Total</v>
      </c>
      <c r="J34" s="261">
        <f>IF(I34="","",IF('21. 12-13 Exc &amp; Adj'!$B$30="",0,IF('21. 12-13 Exc &amp; Adj'!B30&gt;=0,"",IF('3. Getting Started'!B7="No",'21. 12-13 Exc &amp; Adj'!D24,'21. 12-13 Exc &amp; Adj'!B34))))</f>
        <v>0</v>
      </c>
      <c r="K34" s="264"/>
      <c r="L34" s="265"/>
      <c r="M34" s="260" t="str">
        <f>IF(O$6="Met","",IF(OR(N$4="2017-2018",N$4="2016-2017",N$4="2015-2016",N$4="2014-2015",N$4="2013-2014",N$4="2012-2013"),"","2012-13 Total"))</f>
        <v>2012-13 Total</v>
      </c>
      <c r="N34" s="261">
        <f>IF(M34="","",IF('21. 12-13 Exc &amp; Adj'!$B$30="",0,IF('21. 12-13 Exc &amp; Adj'!B30&gt;=0,"",IF('3. Getting Started'!B7="No",'21. 12-13 Exc &amp; Adj'!E24,'21. 12-13 Exc &amp; Adj'!C34))))</f>
        <v>0</v>
      </c>
      <c r="O34" s="264"/>
      <c r="P34" s="265"/>
    </row>
    <row r="35" spans="1:16" x14ac:dyDescent="0.25">
      <c r="A35" s="398" t="str">
        <f>IF(C$6="Met","",IF(OR(B$4="2017-2018",B$4="2016-2017",B$4="2015-2016",B$4="2014-2015",B$4="2013-2014",B$4="2012-2013",B$4="2011-2012"),"","2011-12 Total"))</f>
        <v>2011-12 Total</v>
      </c>
      <c r="B35" s="399">
        <f>IF(A35="","",IF('20. 11-12 Exc &amp; Adj'!$B$30="",0,IF('20. 11-12 Exc &amp; Adj'!B30&gt;=0,"",IF('3. Getting Started'!B7="No",'20. 11-12 Exc &amp; Adj'!B24,'20. 11-12 Exc &amp; Adj'!B34))))</f>
        <v>0</v>
      </c>
      <c r="C35" s="264"/>
      <c r="D35" s="256"/>
      <c r="E35" s="385" t="str">
        <f>IF(G$6="Met","",IF(OR(F$4="2017-2018",F$4="2016-2017",F$4="2015-2016",F$4="2014-2015",F$4="2013-2014",F$4="2012-2013",F$4="2011-2012"),"","2011-12 Total"))</f>
        <v>2011-12 Total</v>
      </c>
      <c r="F35" s="386">
        <f>IF(E35="","",IF('20. 11-12 Exc &amp; Adj'!$B$30="",0,IF('20. 11-12 Exc &amp; Adj'!B30&gt;=0,"",IF('3. Getting Started'!B7="No",'20. 11-12 Exc &amp; Adj'!C24,'20. 11-12 Exc &amp; Adj'!C34))))</f>
        <v>0</v>
      </c>
      <c r="G35" s="264"/>
      <c r="H35" s="256"/>
      <c r="I35" s="385" t="str">
        <f>IF(K$6="Met","",IF(OR(J$4="2017-2018",J$4="2016-2017",J$4="2015-2016",J$4="2014-2015",J$4="2013-2014",J$4="2012-2013",J$4="2011-2012"),"","2011-12 Total"))</f>
        <v>2011-12 Total</v>
      </c>
      <c r="J35" s="386">
        <f>IF(I35="","",IF('20. 11-12 Exc &amp; Adj'!$B$30="",0,IF('20. 11-12 Exc &amp; Adj'!B30&gt;=0,"",IF('3. Getting Started'!B7="No",'20. 11-12 Exc &amp; Adj'!D24,'20. 11-12 Exc &amp; Adj'!B34))))</f>
        <v>0</v>
      </c>
      <c r="K35" s="264"/>
      <c r="L35" s="256"/>
      <c r="M35" s="385" t="str">
        <f>IF(O$6="Met","",IF(OR(N$4="2017-2018",N$4="2016-2017",N$4="2015-2016",N$4="2014-2015",N$4="2013-2014",N$4="2012-2013",N$4="2011-2012"),"","2011-12 Total"))</f>
        <v>2011-12 Total</v>
      </c>
      <c r="N35" s="386">
        <f>IF(M35="","",IF('20. 11-12 Exc &amp; Adj'!$B$30="",0,IF('20. 11-12 Exc &amp; Adj'!B30&gt;=0,"",IF('3. Getting Started'!B7="No",'20. 11-12 Exc &amp; Adj'!E24,'20. 11-12 Exc &amp; Adj'!C34))))</f>
        <v>0</v>
      </c>
      <c r="O35" s="264"/>
      <c r="P35" s="256"/>
    </row>
    <row r="36" spans="1:16" x14ac:dyDescent="0.25">
      <c r="A36" s="494" t="s">
        <v>219</v>
      </c>
      <c r="B36" s="495"/>
      <c r="C36" s="264"/>
      <c r="D36" s="256"/>
      <c r="E36" s="488" t="s">
        <v>219</v>
      </c>
      <c r="F36" s="489"/>
      <c r="G36" s="264"/>
      <c r="H36" s="256"/>
      <c r="I36" s="488" t="s">
        <v>219</v>
      </c>
      <c r="J36" s="489"/>
      <c r="K36" s="264"/>
      <c r="L36" s="256"/>
      <c r="M36" s="488" t="s">
        <v>219</v>
      </c>
      <c r="N36" s="489"/>
      <c r="O36" s="264"/>
      <c r="P36" s="256"/>
    </row>
    <row r="37" spans="1:16" x14ac:dyDescent="0.25">
      <c r="A37" s="250" t="s">
        <v>37</v>
      </c>
      <c r="B37" s="263"/>
      <c r="C37" s="264"/>
      <c r="D37" s="256"/>
      <c r="E37" s="250" t="s">
        <v>37</v>
      </c>
      <c r="F37" s="263"/>
      <c r="G37" s="264"/>
      <c r="H37" s="256"/>
      <c r="I37" s="250" t="s">
        <v>37</v>
      </c>
      <c r="J37" s="263"/>
      <c r="K37" s="264"/>
      <c r="L37" s="256"/>
      <c r="M37" s="250" t="s">
        <v>37</v>
      </c>
      <c r="N37" s="263"/>
      <c r="O37" s="264"/>
      <c r="P37" s="256"/>
    </row>
    <row r="38" spans="1:16" x14ac:dyDescent="0.25">
      <c r="A38" s="250" t="s">
        <v>41</v>
      </c>
      <c r="B38" s="263"/>
      <c r="C38" s="264"/>
      <c r="D38" s="256"/>
      <c r="E38" s="250" t="s">
        <v>41</v>
      </c>
      <c r="F38" s="263"/>
      <c r="G38" s="264"/>
      <c r="H38" s="256"/>
      <c r="I38" s="250" t="s">
        <v>41</v>
      </c>
      <c r="J38" s="263"/>
      <c r="K38" s="264"/>
      <c r="L38" s="256"/>
      <c r="M38" s="250" t="s">
        <v>41</v>
      </c>
      <c r="N38" s="263"/>
      <c r="O38" s="264"/>
      <c r="P38" s="256"/>
    </row>
    <row r="39" spans="1:16" x14ac:dyDescent="0.25">
      <c r="A39" s="250" t="s">
        <v>38</v>
      </c>
      <c r="B39" s="263"/>
      <c r="C39" s="264"/>
      <c r="D39" s="256"/>
      <c r="E39" s="250" t="s">
        <v>38</v>
      </c>
      <c r="F39" s="263"/>
      <c r="G39" s="264"/>
      <c r="H39" s="256"/>
      <c r="I39" s="250" t="s">
        <v>38</v>
      </c>
      <c r="J39" s="263"/>
      <c r="K39" s="264"/>
      <c r="L39" s="256"/>
      <c r="M39" s="250" t="s">
        <v>38</v>
      </c>
      <c r="N39" s="263"/>
      <c r="O39" s="264"/>
      <c r="P39" s="256"/>
    </row>
    <row r="40" spans="1:16" x14ac:dyDescent="0.25">
      <c r="A40" s="250" t="s">
        <v>40</v>
      </c>
      <c r="B40" s="263"/>
      <c r="C40" s="264"/>
      <c r="D40" s="256"/>
      <c r="E40" s="250" t="s">
        <v>40</v>
      </c>
      <c r="F40" s="263"/>
      <c r="G40" s="264"/>
      <c r="H40" s="256"/>
      <c r="I40" s="250" t="s">
        <v>40</v>
      </c>
      <c r="J40" s="263"/>
      <c r="K40" s="264"/>
      <c r="L40" s="256"/>
      <c r="M40" s="250" t="s">
        <v>40</v>
      </c>
      <c r="N40" s="263"/>
      <c r="O40" s="264"/>
      <c r="P40" s="256"/>
    </row>
    <row r="41" spans="1:16" x14ac:dyDescent="0.25">
      <c r="A41" s="250" t="s">
        <v>39</v>
      </c>
      <c r="B41" s="263"/>
      <c r="C41" s="264"/>
      <c r="D41" s="256"/>
      <c r="E41" s="250" t="s">
        <v>39</v>
      </c>
      <c r="F41" s="263"/>
      <c r="G41" s="264"/>
      <c r="H41" s="256"/>
      <c r="I41" s="250" t="s">
        <v>39</v>
      </c>
      <c r="J41" s="263"/>
      <c r="K41" s="264"/>
      <c r="L41" s="256"/>
      <c r="M41" s="250" t="s">
        <v>39</v>
      </c>
      <c r="N41" s="263"/>
      <c r="O41" s="264"/>
      <c r="P41" s="256"/>
    </row>
    <row r="42" spans="1:16" x14ac:dyDescent="0.25">
      <c r="A42" s="281" t="s">
        <v>74</v>
      </c>
      <c r="B42" s="266" t="s">
        <v>75</v>
      </c>
      <c r="C42" s="264"/>
      <c r="D42" s="256"/>
      <c r="E42" s="254" t="s">
        <v>74</v>
      </c>
      <c r="F42" s="266" t="s">
        <v>75</v>
      </c>
      <c r="G42" s="264"/>
      <c r="H42" s="256"/>
      <c r="I42" s="254" t="s">
        <v>74</v>
      </c>
      <c r="J42" s="266" t="s">
        <v>75</v>
      </c>
      <c r="K42" s="264"/>
      <c r="L42" s="256"/>
      <c r="M42" s="254" t="s">
        <v>74</v>
      </c>
      <c r="N42" s="266" t="s">
        <v>75</v>
      </c>
      <c r="O42" s="264"/>
      <c r="P42" s="256"/>
    </row>
    <row r="43" spans="1:16" x14ac:dyDescent="0.25">
      <c r="A43" s="283" t="str">
        <f>IF(C$6="Met","","2018-19 Total")</f>
        <v>2018-19 Total</v>
      </c>
      <c r="B43" s="268">
        <f>IF(A43="","",IF($B$1="Eligibility",'16. 18-19 Exc &amp; Adj'!$C$46,IF($B$1="Compliance",'16. 18-19 Exc &amp; Adj'!$J$46)))</f>
        <v>0</v>
      </c>
      <c r="C43" s="264"/>
      <c r="D43" s="256"/>
      <c r="E43" s="267" t="str">
        <f>IF(G$6="Met","","2018-19 Total")</f>
        <v>2018-19 Total</v>
      </c>
      <c r="F43" s="268">
        <f>IF(E43="","",IF($B$1="Eligibility",'16. 18-19 Exc &amp; Adj'!$C$46,IF($B$1="Compliance",'16. 18-19 Exc &amp; Adj'!$J$46)))</f>
        <v>0</v>
      </c>
      <c r="G43" s="264"/>
      <c r="H43" s="256"/>
      <c r="I43" s="267" t="str">
        <f>IF(K$6="Met","","2018-19 Total")</f>
        <v>2018-19 Total</v>
      </c>
      <c r="J43" s="268">
        <f>IF(I43="","",IF($B$1="Eligibility",'16. 18-19 Exc &amp; Adj'!$C$46,IF($B$1="Compliance",'16. 18-19 Exc &amp; Adj'!$J$46)))</f>
        <v>0</v>
      </c>
      <c r="K43" s="264"/>
      <c r="L43" s="256"/>
      <c r="M43" s="267" t="str">
        <f>IF(O$6="Met","","2018-19 Total")</f>
        <v>2018-19 Total</v>
      </c>
      <c r="N43" s="268">
        <f>IF(M43="","",IF($B$1="Eligibility",'16. 18-19 Exc &amp; Adj'!$C$46,IF($B$1="Compliance",'16. 18-19 Exc &amp; Adj'!$J$46)))</f>
        <v>0</v>
      </c>
      <c r="O43" s="264"/>
      <c r="P43" s="256"/>
    </row>
    <row r="44" spans="1:16" x14ac:dyDescent="0.25">
      <c r="A44" s="388" t="str">
        <f>IF(C$6="Met","",IF(B$4="2017-2018","","2017-18 Total"))</f>
        <v>2017-18 Total</v>
      </c>
      <c r="B44" s="268">
        <f>IF(A44="","",IF($B$1="Eligibility",'13. 17-18 Exc &amp; Adj'!$C$46,IF($B$1="Compliance",'13. 17-18 Exc &amp; Adj'!$J$46)))</f>
        <v>0</v>
      </c>
      <c r="C44" s="264"/>
      <c r="D44" s="256"/>
      <c r="E44" s="257" t="str">
        <f>IF(G$6="Met","",IF(F$4="2017-2018","","2017-18 Total"))</f>
        <v>2017-18 Total</v>
      </c>
      <c r="F44" s="268">
        <f>IF(E44="","",IF($B$1="Eligibility",'13. 17-18 Exc &amp; Adj'!$C$46,IF($B$1="Compliance",'13. 17-18 Exc &amp; Adj'!$J$46)))</f>
        <v>0</v>
      </c>
      <c r="G44" s="264"/>
      <c r="H44" s="256"/>
      <c r="I44" s="257" t="str">
        <f>IF(K$6="Met","",IF(J$4="2017-2018","","2017-18 Total"))</f>
        <v>2017-18 Total</v>
      </c>
      <c r="J44" s="268">
        <f>IF(I44="","",IF($B$1="Eligibility",'13. 17-18 Exc &amp; Adj'!$C$46,IF($B$1="Compliance",'13. 17-18 Exc &amp; Adj'!$J$46)))</f>
        <v>0</v>
      </c>
      <c r="K44" s="264"/>
      <c r="L44" s="256"/>
      <c r="M44" s="257" t="str">
        <f>IF(O$6="Met","",IF(N$4="2017-2018","","2017-18 Total"))</f>
        <v>2017-18 Total</v>
      </c>
      <c r="N44" s="268">
        <f>IF(M44="","",IF($B$1="Eligibility",'13. 17-18 Exc &amp; Adj'!$C$46,IF($B$1="Compliance",'13. 17-18 Exc &amp; Adj'!$J$46)))</f>
        <v>0</v>
      </c>
      <c r="O44" s="264"/>
      <c r="P44" s="256"/>
    </row>
    <row r="45" spans="1:16" x14ac:dyDescent="0.25">
      <c r="A45" s="388" t="str">
        <f>IF(C$6="Met","",IF(OR(B$4="2017-2018",B$4="2016-2017"),"","2016-17 Total"))</f>
        <v>2016-17 Total</v>
      </c>
      <c r="B45" s="268">
        <f>IF(A45="","",'10. 16-17 Exc &amp; Adj'!$J$46)</f>
        <v>0</v>
      </c>
      <c r="C45" s="264"/>
      <c r="D45" s="256"/>
      <c r="E45" s="257" t="str">
        <f>IF(G$6="Met","",IF(OR(F$4="2017-2018",F$4="2016-2017"),"","2016-17 Total"))</f>
        <v>2016-17 Total</v>
      </c>
      <c r="F45" s="268">
        <f>IF(E45="","",'10. 16-17 Exc &amp; Adj'!$J$46)</f>
        <v>0</v>
      </c>
      <c r="G45" s="264"/>
      <c r="H45" s="256"/>
      <c r="I45" s="257" t="str">
        <f>IF(K$6="Met","",IF(OR(J$4="2017-2018",J$4="2016-2017"),"","2016-17 Total"))</f>
        <v>2016-17 Total</v>
      </c>
      <c r="J45" s="268">
        <f>IF(I45="","",'10. 16-17 Exc &amp; Adj'!$J$46)</f>
        <v>0</v>
      </c>
      <c r="K45" s="264"/>
      <c r="L45" s="256"/>
      <c r="M45" s="257" t="str">
        <f>IF(O$6="Met","",IF(OR(N$4="2017-2018",N$4="2016-2017"),"","2016-17 Total"))</f>
        <v>2016-17 Total</v>
      </c>
      <c r="N45" s="268">
        <f>IF(M45="","",'10. 16-17 Exc &amp; Adj'!$J$46)</f>
        <v>0</v>
      </c>
      <c r="O45" s="264"/>
      <c r="P45" s="256"/>
    </row>
    <row r="46" spans="1:16" x14ac:dyDescent="0.25">
      <c r="A46" s="388" t="str">
        <f>IF(C$6="Met","",IF(OR(B$4="2017-2018",B$4="2016-2017",B$4="2015-2016"),"","2015-16 Total"))</f>
        <v>2015-16 Total</v>
      </c>
      <c r="B46" s="268">
        <f>IF(A46="","",'7. 15-16 Exc &amp; Adj'!$J$46)</f>
        <v>0</v>
      </c>
      <c r="C46" s="264"/>
      <c r="D46" s="256"/>
      <c r="E46" s="257" t="str">
        <f>IF(G$6="Met","",IF(OR(F$4="2017-2018",F$4="2016-2017",F$4="2015-2016"),"","2015-16 Total"))</f>
        <v>2015-16 Total</v>
      </c>
      <c r="F46" s="268">
        <f>IF(E46="","",'7. 15-16 Exc &amp; Adj'!$J$46)</f>
        <v>0</v>
      </c>
      <c r="G46" s="264"/>
      <c r="H46" s="256"/>
      <c r="I46" s="257" t="str">
        <f>IF(K$6="Met","",IF(OR(J$4="2017-2018",J$4="2016-2017",J$4="2015-2016"),"","2015-16 Total"))</f>
        <v>2015-16 Total</v>
      </c>
      <c r="J46" s="268">
        <f>IF(I46="","",'7. 15-16 Exc &amp; Adj'!$J$46)</f>
        <v>0</v>
      </c>
      <c r="K46" s="264"/>
      <c r="L46" s="256"/>
      <c r="M46" s="257" t="str">
        <f>IF(O$6="Met","",IF(OR(N$4="2017-2018",N$4="2016-2017",N$4="2015-2016"),"","2015-16 Total"))</f>
        <v>2015-16 Total</v>
      </c>
      <c r="N46" s="268">
        <f>IF(M46="","",'7. 15-16 Exc &amp; Adj'!$J$46)</f>
        <v>0</v>
      </c>
      <c r="O46" s="264"/>
      <c r="P46" s="256"/>
    </row>
    <row r="47" spans="1:16" x14ac:dyDescent="0.25">
      <c r="A47" s="388" t="str">
        <f>IF(C$6="Met","",IF(OR(B$4="2017-2018",B$4="2016-2017",B$4="2015-2016",B$4="2014-2015"),"","2014-15 Total"))</f>
        <v>2014-15 Total</v>
      </c>
      <c r="B47" s="268">
        <f>IF(A47="","",'23. 14-15 Exc &amp; Adj'!C45)</f>
        <v>0</v>
      </c>
      <c r="C47" s="264"/>
      <c r="D47" s="256"/>
      <c r="E47" s="257" t="str">
        <f>IF(G$6="Met","",IF(OR(F$4="2017-2018",F$4="2016-2017",F$4="2015-2016",F$4="2014-2015"),"","2014-15 Total"))</f>
        <v>2014-15 Total</v>
      </c>
      <c r="F47" s="268">
        <f>IF(E47="","",'23. 14-15 Exc &amp; Adj'!C45)</f>
        <v>0</v>
      </c>
      <c r="G47" s="264"/>
      <c r="H47" s="256"/>
      <c r="I47" s="257" t="str">
        <f>IF(K$6="Met","",IF(OR(J$4="2017-2018",J$4="2016-2017",J$4="2015-2016",J$4="2014-2015"),"","2014-15 Total"))</f>
        <v>2014-15 Total</v>
      </c>
      <c r="J47" s="268">
        <f>IF(I47="","",'23. 14-15 Exc &amp; Adj'!C45)</f>
        <v>0</v>
      </c>
      <c r="K47" s="264"/>
      <c r="L47" s="256"/>
      <c r="M47" s="257" t="str">
        <f>IF(O$6="Met","",IF(OR(N$4="2017-2018",N$4="2016-2017",N$4="2015-2016",N$4="2014-2015"),"","2014-15 Total"))</f>
        <v>2014-15 Total</v>
      </c>
      <c r="N47" s="268">
        <f>IF(M47="","",'23. 14-15 Exc &amp; Adj'!C45)</f>
        <v>0</v>
      </c>
      <c r="O47" s="264"/>
      <c r="P47" s="256"/>
    </row>
    <row r="48" spans="1:16" x14ac:dyDescent="0.25">
      <c r="A48" s="288" t="str">
        <f>IF(C$6="Met","",IF(OR(B$4="2017-2018",B$4="2016-2017",B$4="2015-2016",B$4="2014-2015",B$4="2013-2014"),"","2013-14 Total"))</f>
        <v>2013-14 Total</v>
      </c>
      <c r="B48" s="268">
        <f>IF(A48="","",'22. 13-14 Exc &amp; Adj'!C45)</f>
        <v>0</v>
      </c>
      <c r="C48" s="264"/>
      <c r="D48" s="256"/>
      <c r="E48" s="259" t="str">
        <f>IF(G$6="Met","",IF(OR(F$4="2017-2018",F$4="2016-2017",F$4="2015-2016",F$4="2014-2015",F$4="2013-2014"),"","2013-14 Total"))</f>
        <v>2013-14 Total</v>
      </c>
      <c r="F48" s="268">
        <f>IF(E48="","",'22. 13-14 Exc &amp; Adj'!C45)</f>
        <v>0</v>
      </c>
      <c r="G48" s="264"/>
      <c r="H48" s="256"/>
      <c r="I48" s="259" t="str">
        <f>IF(K$6="Met","",IF(OR(J$4="2017-2018",J$4="2016-2017",J$4="2015-2016",J$4="2014-2015",J$4="2013-2014"),"","2013-14 Total"))</f>
        <v>2013-14 Total</v>
      </c>
      <c r="J48" s="268">
        <f>IF(I48="","",'22. 13-14 Exc &amp; Adj'!C45)</f>
        <v>0</v>
      </c>
      <c r="K48" s="264"/>
      <c r="L48" s="256"/>
      <c r="M48" s="259" t="str">
        <f>IF(O$6="Met","",IF(OR(N$4="2017-2018",N$4="2016-2017",N$4="2015-2016",N$4="2014-2015",N$4="2013-2014"),"","2013-14 Total"))</f>
        <v>2013-14 Total</v>
      </c>
      <c r="N48" s="268">
        <f>IF(M48="","",'22. 13-14 Exc &amp; Adj'!C45)</f>
        <v>0</v>
      </c>
      <c r="O48" s="264"/>
      <c r="P48" s="256"/>
    </row>
    <row r="49" spans="1:16" x14ac:dyDescent="0.25">
      <c r="A49" s="288" t="str">
        <f>IF(C$6="Met","",IF(OR(B$4="2017-2018",B$4="2016-2017",B$4="2015-2016",B$4="2014-2015",B$4="2013-2014",B$4="2012-2013"),"","2012-13 Total"))</f>
        <v>2012-13 Total</v>
      </c>
      <c r="B49" s="268">
        <f>IF(A49="","",'21. 12-13 Exc &amp; Adj'!C45)</f>
        <v>0</v>
      </c>
      <c r="C49" s="264"/>
      <c r="D49" s="256"/>
      <c r="E49" s="260" t="str">
        <f>IF(G$6="Met","",IF(OR(F$4="2017-2018",F$4="2016-2017",F$4="2015-2016",F$4="2014-2015",F$4="2013-2014",F$4="2012-2013"),"","2012-13 Total"))</f>
        <v>2012-13 Total</v>
      </c>
      <c r="F49" s="268">
        <f>IF(E49="","",'21. 12-13 Exc &amp; Adj'!C45)</f>
        <v>0</v>
      </c>
      <c r="G49" s="264"/>
      <c r="H49" s="256"/>
      <c r="I49" s="260" t="str">
        <f>IF(K$6="Met","",IF(OR(J$4="2017-2018",J$4="2016-2017",J$4="2015-2016",J$4="2014-2015",J$4="2013-2014",J$4="2012-2013"),"","2012-13 Total"))</f>
        <v>2012-13 Total</v>
      </c>
      <c r="J49" s="268">
        <f>IF(I49="","",'21. 12-13 Exc &amp; Adj'!C45)</f>
        <v>0</v>
      </c>
      <c r="K49" s="264"/>
      <c r="L49" s="256"/>
      <c r="M49" s="260" t="str">
        <f>IF(O$6="Met","",IF(OR(N$4="2017-2018",N$4="2016-2017",N$4="2015-2016",N$4="2014-2015",N$4="2013-2014",N$4="2012-2013"),"","2012-13 Total"))</f>
        <v>2012-13 Total</v>
      </c>
      <c r="N49" s="268">
        <f>IF(M49="","",'21. 12-13 Exc &amp; Adj'!C45)</f>
        <v>0</v>
      </c>
      <c r="O49" s="264"/>
      <c r="P49" s="256"/>
    </row>
    <row r="50" spans="1:16" x14ac:dyDescent="0.25">
      <c r="A50" s="283" t="str">
        <f>IF(C$6="Met","",IF(OR(B$4="2017-2018",B$4="2016-2017",B$4="2015-2016",B$4="2014-2015",B$4="2013-2014",B$4="2012-2013",B$4="2011-2012"),"","2011-12 Total"))</f>
        <v>2011-12 Total</v>
      </c>
      <c r="B50" s="268">
        <f>IF(A50="","",'20. 11-12 Exc &amp; Adj'!C45)</f>
        <v>0</v>
      </c>
      <c r="C50" s="264"/>
      <c r="D50" s="256"/>
      <c r="E50" s="267" t="str">
        <f>IF(G$6="Met","",IF(OR(F$4="2017-2018",F$4="2016-2017",F$4="2015-2016",F$4="2014-2015",F$4="2013-2014",F$4="2012-2013",F$4="2011-2012"),"","2011-12 Total"))</f>
        <v>2011-12 Total</v>
      </c>
      <c r="F50" s="268">
        <f>IF(E50="","",'20. 11-12 Exc &amp; Adj'!C45)</f>
        <v>0</v>
      </c>
      <c r="G50" s="264"/>
      <c r="H50" s="256"/>
      <c r="I50" s="267" t="str">
        <f>IF(K$6="Met","",IF(OR(J$4="2017-2018",J$4="2016-2017",J$4="2015-2016",J$4="2014-2015",J$4="2013-2014",J$4="2012-2013",J$4="2011-2012"),"","2011-12 Total"))</f>
        <v>2011-12 Total</v>
      </c>
      <c r="J50" s="268">
        <f>IF(I50="","",'20. 11-12 Exc &amp; Adj'!C45)</f>
        <v>0</v>
      </c>
      <c r="K50" s="264"/>
      <c r="L50" s="256"/>
      <c r="M50" s="267" t="str">
        <f>IF(O$6="Met","",IF(OR(N$4="2017-2018",N$4="2016-2017",N$4="2015-2016",N$4="2014-2015",N$4="2013-2014",N$4="2012-2013",N$4="2011-2012"),"","2011-12 Total"))</f>
        <v>2011-12 Total</v>
      </c>
      <c r="N50" s="268">
        <f>IF(M50="","",'20. 11-12 Exc &amp; Adj'!C45)</f>
        <v>0</v>
      </c>
      <c r="O50" s="264"/>
      <c r="P50" s="256"/>
    </row>
    <row r="51" spans="1:16" x14ac:dyDescent="0.25">
      <c r="A51" s="494" t="s">
        <v>219</v>
      </c>
      <c r="B51" s="495"/>
      <c r="C51" s="264"/>
      <c r="D51" s="256"/>
      <c r="E51" s="494" t="s">
        <v>219</v>
      </c>
      <c r="F51" s="495"/>
      <c r="G51" s="264"/>
      <c r="H51" s="256"/>
      <c r="I51" s="494" t="s">
        <v>219</v>
      </c>
      <c r="J51" s="495"/>
      <c r="K51" s="264"/>
      <c r="L51" s="256"/>
      <c r="M51" s="494" t="s">
        <v>219</v>
      </c>
      <c r="N51" s="495"/>
      <c r="O51" s="264"/>
      <c r="P51" s="256"/>
    </row>
    <row r="52" spans="1:16" x14ac:dyDescent="0.25">
      <c r="A52" s="250" t="s">
        <v>42</v>
      </c>
      <c r="B52" s="263"/>
      <c r="C52" s="264"/>
      <c r="D52" s="256"/>
      <c r="E52" s="250" t="s">
        <v>42</v>
      </c>
      <c r="F52" s="263"/>
      <c r="G52" s="264"/>
      <c r="H52" s="256"/>
      <c r="I52" s="250" t="s">
        <v>42</v>
      </c>
      <c r="J52" s="263"/>
      <c r="K52" s="264"/>
      <c r="L52" s="256"/>
      <c r="M52" s="250" t="s">
        <v>42</v>
      </c>
      <c r="N52" s="263"/>
      <c r="O52" s="264"/>
      <c r="P52" s="256"/>
    </row>
    <row r="53" spans="1:16" x14ac:dyDescent="0.25">
      <c r="A53" s="250" t="s">
        <v>43</v>
      </c>
      <c r="B53" s="263"/>
      <c r="C53" s="264"/>
      <c r="D53" s="256"/>
      <c r="E53" s="250" t="s">
        <v>43</v>
      </c>
      <c r="F53" s="263"/>
      <c r="G53" s="264"/>
      <c r="H53" s="256"/>
      <c r="I53" s="250" t="s">
        <v>43</v>
      </c>
      <c r="J53" s="263"/>
      <c r="K53" s="264"/>
      <c r="L53" s="256"/>
      <c r="M53" s="250" t="s">
        <v>43</v>
      </c>
      <c r="N53" s="263"/>
      <c r="O53" s="264"/>
      <c r="P53" s="256"/>
    </row>
    <row r="54" spans="1:16" x14ac:dyDescent="0.25">
      <c r="A54" s="281" t="s">
        <v>74</v>
      </c>
      <c r="B54" s="255" t="s">
        <v>75</v>
      </c>
      <c r="C54" s="264"/>
      <c r="D54" s="256"/>
      <c r="E54" s="254" t="s">
        <v>74</v>
      </c>
      <c r="F54" s="255" t="s">
        <v>75</v>
      </c>
      <c r="G54" s="264"/>
      <c r="H54" s="256"/>
      <c r="I54" s="254" t="s">
        <v>74</v>
      </c>
      <c r="J54" s="255" t="s">
        <v>75</v>
      </c>
      <c r="K54" s="264"/>
      <c r="L54" s="256"/>
      <c r="M54" s="254" t="s">
        <v>74</v>
      </c>
      <c r="N54" s="255" t="s">
        <v>75</v>
      </c>
      <c r="O54" s="264"/>
      <c r="P54" s="256"/>
    </row>
    <row r="55" spans="1:16" x14ac:dyDescent="0.25">
      <c r="A55" s="283" t="str">
        <f>IF(C$6="Met","","2018-19 Total")</f>
        <v>2018-19 Total</v>
      </c>
      <c r="B55" s="270">
        <f>IF(A55="","",IF($B$1="Eligibility",'16. 18-19 Exc &amp; Adj'!$B$56,IF($B$1="Compliance",'16. 18-19 Exc &amp; Adj'!$I$56)))</f>
        <v>0</v>
      </c>
      <c r="C55" s="264"/>
      <c r="D55" s="256"/>
      <c r="E55" s="267" t="str">
        <f>IF(G$6="Met","","2018-19 Total")</f>
        <v>2018-19 Total</v>
      </c>
      <c r="F55" s="270">
        <f>IF(E55="","",IF($B$1="Eligibility",'16. 18-19 Exc &amp; Adj'!$B$56,IF($B$1="Compliance",'16. 18-19 Exc &amp; Adj'!$I$56)))</f>
        <v>0</v>
      </c>
      <c r="G55" s="264"/>
      <c r="H55" s="256"/>
      <c r="I55" s="267" t="str">
        <f>IF(K$6="Met","","2018-19 Total")</f>
        <v>2018-19 Total</v>
      </c>
      <c r="J55" s="270">
        <f>IF(I55="","",IF($B$1="Eligibility",'16. 18-19 Exc &amp; Adj'!$B$56,IF($B$1="Compliance",'16. 18-19 Exc &amp; Adj'!$I$56)))</f>
        <v>0</v>
      </c>
      <c r="K55" s="264"/>
      <c r="L55" s="256"/>
      <c r="M55" s="267" t="str">
        <f>IF(O$6="Met","","2018-19 Total")</f>
        <v>2018-19 Total</v>
      </c>
      <c r="N55" s="270">
        <f>IF(M55="","",IF($B$1="Eligibility",'16. 18-19 Exc &amp; Adj'!$B$56,IF($B$1="Compliance",'16. 18-19 Exc &amp; Adj'!$I$56)))</f>
        <v>0</v>
      </c>
      <c r="O55" s="264"/>
      <c r="P55" s="256"/>
    </row>
    <row r="56" spans="1:16" x14ac:dyDescent="0.25">
      <c r="A56" s="388" t="str">
        <f>IF(C$6="Met","",IF(B$4="2017-2018","","2017-18 Total"))</f>
        <v>2017-18 Total</v>
      </c>
      <c r="B56" s="270">
        <f>IF(A56="","",IF($B$1="Eligibility",'13. 17-18 Exc &amp; Adj'!$B$56,IF($B$1="Compliance",'13. 17-18 Exc &amp; Adj'!$I$56)))</f>
        <v>0</v>
      </c>
      <c r="C56" s="264"/>
      <c r="D56" s="256"/>
      <c r="E56" s="257" t="str">
        <f>IF(G$6="Met","",IF(F$4="2017-2018","","2017-18 Total"))</f>
        <v>2017-18 Total</v>
      </c>
      <c r="F56" s="270">
        <f>IF(E56="","",IF($B$1="Eligibility",'13. 17-18 Exc &amp; Adj'!$B$56,IF($B$1="Compliance",'13. 17-18 Exc &amp; Adj'!$I$56)))</f>
        <v>0</v>
      </c>
      <c r="G56" s="264"/>
      <c r="H56" s="256"/>
      <c r="I56" s="257" t="str">
        <f>IF(K$6="Met","",IF(J$4="2017-2018","","2017-18 Total"))</f>
        <v>2017-18 Total</v>
      </c>
      <c r="J56" s="270">
        <f>IF(I56="","",IF($B$1="Eligibility",'13. 17-18 Exc &amp; Adj'!$B$56,IF($B$1="Compliance",'13. 17-18 Exc &amp; Adj'!$I$56)))</f>
        <v>0</v>
      </c>
      <c r="K56" s="264"/>
      <c r="L56" s="256"/>
      <c r="M56" s="257" t="str">
        <f>IF(O$6="Met","",IF(N$4="2017-2018","","2017-18 Total"))</f>
        <v>2017-18 Total</v>
      </c>
      <c r="N56" s="270">
        <f>IF(M56="","",IF($B$1="Eligibility",'13. 17-18 Exc &amp; Adj'!$B$56,IF($B$1="Compliance",'13. 17-18 Exc &amp; Adj'!$I$56)))</f>
        <v>0</v>
      </c>
      <c r="O56" s="264"/>
      <c r="P56" s="256"/>
    </row>
    <row r="57" spans="1:16" x14ac:dyDescent="0.25">
      <c r="A57" s="388" t="str">
        <f>IF(C$6="Met","",IF(OR(B$4="2017-2018",B$4="2016-2017"),"","2016-17 Total"))</f>
        <v>2016-17 Total</v>
      </c>
      <c r="B57" s="270">
        <f>IF(A57="","",'10. 16-17 Exc &amp; Adj'!$I$56)</f>
        <v>0</v>
      </c>
      <c r="C57" s="264"/>
      <c r="D57" s="256"/>
      <c r="E57" s="257" t="str">
        <f>IF(G$6="Met","",IF(OR(F$4="2017-2018",F$4="2016-2017"),"","2016-17 Total"))</f>
        <v>2016-17 Total</v>
      </c>
      <c r="F57" s="270">
        <f>IF(E57="","",'10. 16-17 Exc &amp; Adj'!$I$56)</f>
        <v>0</v>
      </c>
      <c r="G57" s="264"/>
      <c r="H57" s="256"/>
      <c r="I57" s="257" t="str">
        <f>IF(K$6="Met","",IF(OR(J$4="2017-2018",J$4="2016-2017"),"","2016-17 Total"))</f>
        <v>2016-17 Total</v>
      </c>
      <c r="J57" s="270">
        <f>IF(I57="","",'10. 16-17 Exc &amp; Adj'!$I$56)</f>
        <v>0</v>
      </c>
      <c r="K57" s="264"/>
      <c r="L57" s="256"/>
      <c r="M57" s="257" t="str">
        <f>IF(O$6="Met","",IF(OR(N$4="2017-2018",N$4="2016-2017"),"","2016-17 Total"))</f>
        <v>2016-17 Total</v>
      </c>
      <c r="N57" s="270">
        <f>IF(M57="","",'10. 16-17 Exc &amp; Adj'!$I$56)</f>
        <v>0</v>
      </c>
      <c r="O57" s="264"/>
      <c r="P57" s="256"/>
    </row>
    <row r="58" spans="1:16" x14ac:dyDescent="0.25">
      <c r="A58" s="388" t="str">
        <f>IF(C$6="Met","",IF(OR(B$4="2017-2018",B$4="2016-2017",B$4="2015-2016"),"","2015-16 Total"))</f>
        <v>2015-16 Total</v>
      </c>
      <c r="B58" s="270">
        <f>IF(A58="","",'7. 15-16 Exc &amp; Adj'!$I$56)</f>
        <v>0</v>
      </c>
      <c r="C58" s="264"/>
      <c r="D58" s="256"/>
      <c r="E58" s="257" t="str">
        <f>IF(G$6="Met","",IF(OR(F$4="2017-2018",F$4="2016-2017",F$4="2015-2016"),"","2015-16 Total"))</f>
        <v>2015-16 Total</v>
      </c>
      <c r="F58" s="270">
        <f>IF(E58="","",'7. 15-16 Exc &amp; Adj'!$I$56)</f>
        <v>0</v>
      </c>
      <c r="G58" s="264"/>
      <c r="H58" s="256"/>
      <c r="I58" s="257" t="str">
        <f>IF(K$6="Met","",IF(OR(J$4="2017-2018",J$4="2016-2017",J$4="2015-2016"),"","2015-16 Total"))</f>
        <v>2015-16 Total</v>
      </c>
      <c r="J58" s="270">
        <f>IF(I58="","",'7. 15-16 Exc &amp; Adj'!$I$56)</f>
        <v>0</v>
      </c>
      <c r="K58" s="264"/>
      <c r="L58" s="256"/>
      <c r="M58" s="257" t="str">
        <f>IF(O$6="Met","",IF(OR(N$4="2017-2018",N$4="2016-2017",N$4="2015-2016"),"","2015-16 Total"))</f>
        <v>2015-16 Total</v>
      </c>
      <c r="N58" s="270">
        <f>IF(M58="","",'7. 15-16 Exc &amp; Adj'!$I$56)</f>
        <v>0</v>
      </c>
      <c r="O58" s="264"/>
      <c r="P58" s="256"/>
    </row>
    <row r="59" spans="1:16" x14ac:dyDescent="0.25">
      <c r="A59" s="388" t="str">
        <f>IF(C$6="Met","",IF(OR(B$4="2017-2018",B$4="2016-2017",B$4="2015-2016",B$4="2014-2015"),"","2014-15 Total"))</f>
        <v>2014-15 Total</v>
      </c>
      <c r="B59" s="270">
        <f>IF(A59="","",'23. 14-15 Exc &amp; Adj'!B55)</f>
        <v>0</v>
      </c>
      <c r="C59" s="264"/>
      <c r="D59" s="256"/>
      <c r="E59" s="257" t="str">
        <f>IF(G$6="Met","",IF(OR(F$4="2017-2018",F$4="2016-2017",F$4="2015-2016",F$4="2014-2015"),"","2014-15 Total"))</f>
        <v>2014-15 Total</v>
      </c>
      <c r="F59" s="270">
        <f>IF(E59="","",'23. 14-15 Exc &amp; Adj'!B55)</f>
        <v>0</v>
      </c>
      <c r="G59" s="264"/>
      <c r="H59" s="256"/>
      <c r="I59" s="257" t="str">
        <f>IF(K$6="Met","",IF(OR(J$4="2017-2018",J$4="2016-2017",J$4="2015-2016",J$4="2014-2015"),"","2014-15 Total"))</f>
        <v>2014-15 Total</v>
      </c>
      <c r="J59" s="270">
        <f>IF(I59="","",'23. 14-15 Exc &amp; Adj'!B55)</f>
        <v>0</v>
      </c>
      <c r="K59" s="264"/>
      <c r="L59" s="256"/>
      <c r="M59" s="257" t="str">
        <f>IF(O$6="Met","",IF(OR(N$4="2017-2018",N$4="2016-2017",N$4="2015-2016",N$4="2014-2015"),"","2014-15 Total"))</f>
        <v>2014-15 Total</v>
      </c>
      <c r="N59" s="270">
        <f>IF(M59="","",'23. 14-15 Exc &amp; Adj'!B55)</f>
        <v>0</v>
      </c>
      <c r="O59" s="264"/>
      <c r="P59" s="256"/>
    </row>
    <row r="60" spans="1:16" x14ac:dyDescent="0.25">
      <c r="A60" s="288" t="str">
        <f>IF(C$6="Met","",IF(OR(B$4="2017-2018",B$4="2016-2017",B$4="2015-2016",B$4="2014-2015",B$4="2013-2014"),"","2013-14 Total"))</f>
        <v>2013-14 Total</v>
      </c>
      <c r="B60" s="270">
        <f>IF(A60="","",'22. 13-14 Exc &amp; Adj'!B55)</f>
        <v>0</v>
      </c>
      <c r="C60" s="264"/>
      <c r="D60" s="256"/>
      <c r="E60" s="259" t="str">
        <f>IF(G$6="Met","",IF(OR(F$4="2017-2018",F$4="2016-2017",F$4="2015-2016",F$4="2014-2015",F$4="2013-2014"),"","2013-14 Total"))</f>
        <v>2013-14 Total</v>
      </c>
      <c r="F60" s="270">
        <f>IF(E60="","",'22. 13-14 Exc &amp; Adj'!B55)</f>
        <v>0</v>
      </c>
      <c r="G60" s="264"/>
      <c r="H60" s="256"/>
      <c r="I60" s="259" t="str">
        <f>IF(K$6="Met","",IF(OR(J$4="2017-2018",J$4="2016-2017",J$4="2015-2016",J$4="2014-2015",J$4="2013-2014"),"","2013-14 Total"))</f>
        <v>2013-14 Total</v>
      </c>
      <c r="J60" s="270">
        <f>IF(I60="","",'22. 13-14 Exc &amp; Adj'!B55)</f>
        <v>0</v>
      </c>
      <c r="K60" s="264"/>
      <c r="L60" s="256"/>
      <c r="M60" s="259" t="str">
        <f>IF(O$6="Met","",IF(OR(N$4="2017-2018",N$4="2016-2017",N$4="2015-2016",N$4="2014-2015",N$4="2013-2014"),"","2013-14 Total"))</f>
        <v>2013-14 Total</v>
      </c>
      <c r="N60" s="270">
        <f>IF(M60="","",'22. 13-14 Exc &amp; Adj'!B55)</f>
        <v>0</v>
      </c>
      <c r="O60" s="264"/>
      <c r="P60" s="256"/>
    </row>
    <row r="61" spans="1:16" x14ac:dyDescent="0.25">
      <c r="A61" s="389" t="str">
        <f>IF(C$6="Met","",IF(OR(B$4="2017-2018",B$4="2016-2017",B$4="2015-2016",B$4="2014-2015",B$4="2013-2014",B$4="2012-2013"),"","2012-13 Total"))</f>
        <v>2012-13 Total</v>
      </c>
      <c r="B61" s="271">
        <f>IF(A61="","",'21. 12-13 Exc &amp; Adj'!B55)</f>
        <v>0</v>
      </c>
      <c r="C61" s="264"/>
      <c r="D61" s="256"/>
      <c r="E61" s="260" t="str">
        <f>IF(G$6="Met","",IF(OR(F$4="2017-2018",F$4="2016-2017",F$4="2015-2016",F$4="2014-2015",F$4="2013-2014",F$4="2012-2013"),"","2012-13 Total"))</f>
        <v>2012-13 Total</v>
      </c>
      <c r="F61" s="271">
        <f>IF(E61="","",'21. 12-13 Exc &amp; Adj'!B55)</f>
        <v>0</v>
      </c>
      <c r="G61" s="264"/>
      <c r="H61" s="256"/>
      <c r="I61" s="260" t="str">
        <f>IF(K$6="Met","",IF(OR(J$4="2017-2018",J$4="2016-2017",J$4="2015-2016",J$4="2014-2015",J$4="2013-2014",J$4="2012-2013"),"","2012-13 Total"))</f>
        <v>2012-13 Total</v>
      </c>
      <c r="J61" s="271">
        <f>IF(I61="","",'21. 12-13 Exc &amp; Adj'!B55)</f>
        <v>0</v>
      </c>
      <c r="K61" s="264"/>
      <c r="L61" s="256"/>
      <c r="M61" s="260" t="str">
        <f>IF(O$6="Met","",IF(OR(N$4="2017-2018",N$4="2016-2017",N$4="2015-2016",N$4="2014-2015",N$4="2013-2014",N$4="2012-2013"),"","2012-13 Total"))</f>
        <v>2012-13 Total</v>
      </c>
      <c r="N61" s="271">
        <f>IF(M61="","",'21. 12-13 Exc &amp; Adj'!B55)</f>
        <v>0</v>
      </c>
      <c r="O61" s="264"/>
      <c r="P61" s="256"/>
    </row>
    <row r="62" spans="1:16" x14ac:dyDescent="0.25">
      <c r="A62" s="283" t="str">
        <f>IF(C$6="Met","",IF(OR(B$4="2017-2018",B$4="2016-2017",B$4="2015-2016",B$4="2014-2015",B$4="2013-2014",B$4="2012-2013",B$4="2011-2012"),"","2011-12 Total"))</f>
        <v>2011-12 Total</v>
      </c>
      <c r="B62" s="268">
        <f>IF(A62="","",'20. 11-12 Exc &amp; Adj'!B55)</f>
        <v>0</v>
      </c>
      <c r="C62" s="264"/>
      <c r="D62" s="256"/>
      <c r="E62" s="391" t="str">
        <f>IF(G$6="Met","",IF(OR(F$4="2017-2018",F$4="2016-2017",F$4="2015-2016",F$4="2014-2015",F$4="2013-2014",F$4="2012-2013",F$4="2011-2012"),"","2011-12 Total"))</f>
        <v>2011-12 Total</v>
      </c>
      <c r="F62" s="271">
        <f>IF(E62="","",'20. 11-12 Exc &amp; Adj'!B55)</f>
        <v>0</v>
      </c>
      <c r="G62" s="264"/>
      <c r="H62" s="256"/>
      <c r="I62" s="391" t="str">
        <f>IF(K$6="Met","",IF(OR(J$4="2017-2018",J$4="2016-2017",J$4="2015-2016",J$4="2014-2015",J$4="2013-2014",J$4="2012-2013",J$4="2011-2012"),"","2011-12 Total"))</f>
        <v>2011-12 Total</v>
      </c>
      <c r="J62" s="271">
        <f>IF(I62="","",'20. 11-12 Exc &amp; Adj'!B55)</f>
        <v>0</v>
      </c>
      <c r="K62" s="264"/>
      <c r="L62" s="256"/>
      <c r="M62" s="391" t="str">
        <f>IF(O$6="Met","",IF(OR(N$4="2017-2018",N$4="2016-2017",N$4="2015-2016",N$4="2014-2015",N$4="2013-2014",N$4="2012-2013",N$4="2011-2012"),"","2011-12 Total"))</f>
        <v>2011-12 Total</v>
      </c>
      <c r="N62" s="271">
        <f>IF(M62="","",'20. 11-12 Exc &amp; Adj'!B55)</f>
        <v>0</v>
      </c>
      <c r="O62" s="264"/>
      <c r="P62" s="256"/>
    </row>
    <row r="63" spans="1:16" x14ac:dyDescent="0.25">
      <c r="A63" s="494" t="s">
        <v>219</v>
      </c>
      <c r="B63" s="495"/>
      <c r="C63" s="264"/>
      <c r="D63" s="256"/>
      <c r="E63" s="488" t="s">
        <v>219</v>
      </c>
      <c r="F63" s="489"/>
      <c r="G63" s="264"/>
      <c r="H63" s="256"/>
      <c r="I63" s="488" t="s">
        <v>219</v>
      </c>
      <c r="J63" s="489"/>
      <c r="K63" s="264"/>
      <c r="L63" s="256"/>
      <c r="M63" s="488" t="s">
        <v>219</v>
      </c>
      <c r="N63" s="489"/>
      <c r="O63" s="264"/>
      <c r="P63" s="256"/>
    </row>
    <row r="64" spans="1:16" x14ac:dyDescent="0.25">
      <c r="A64" s="250" t="s">
        <v>44</v>
      </c>
      <c r="B64" s="263"/>
      <c r="C64" s="264"/>
      <c r="D64" s="256"/>
      <c r="E64" s="250" t="s">
        <v>44</v>
      </c>
      <c r="F64" s="263"/>
      <c r="G64" s="264"/>
      <c r="H64" s="256"/>
      <c r="I64" s="250" t="s">
        <v>44</v>
      </c>
      <c r="J64" s="263"/>
      <c r="K64" s="264"/>
      <c r="L64" s="256"/>
      <c r="M64" s="250" t="s">
        <v>44</v>
      </c>
      <c r="N64" s="263"/>
      <c r="O64" s="264"/>
      <c r="P64" s="256"/>
    </row>
    <row r="65" spans="1:16" x14ac:dyDescent="0.25">
      <c r="A65" s="250" t="s">
        <v>222</v>
      </c>
      <c r="B65" s="263"/>
      <c r="C65" s="264"/>
      <c r="D65" s="256"/>
      <c r="E65" s="250" t="s">
        <v>222</v>
      </c>
      <c r="F65" s="263"/>
      <c r="G65" s="264"/>
      <c r="H65" s="256"/>
      <c r="I65" s="250" t="s">
        <v>222</v>
      </c>
      <c r="J65" s="263"/>
      <c r="K65" s="264"/>
      <c r="L65" s="256"/>
      <c r="M65" s="250" t="s">
        <v>222</v>
      </c>
      <c r="N65" s="263"/>
      <c r="O65" s="264"/>
      <c r="P65" s="256"/>
    </row>
    <row r="66" spans="1:16" x14ac:dyDescent="0.25">
      <c r="A66" s="281" t="s">
        <v>74</v>
      </c>
      <c r="B66" s="255" t="s">
        <v>75</v>
      </c>
      <c r="C66" s="264"/>
      <c r="D66" s="256"/>
      <c r="E66" s="254" t="s">
        <v>74</v>
      </c>
      <c r="F66" s="255" t="s">
        <v>75</v>
      </c>
      <c r="G66" s="264"/>
      <c r="H66" s="256"/>
      <c r="I66" s="254" t="s">
        <v>74</v>
      </c>
      <c r="J66" s="255" t="s">
        <v>75</v>
      </c>
      <c r="K66" s="264"/>
      <c r="L66" s="256"/>
      <c r="M66" s="254" t="s">
        <v>74</v>
      </c>
      <c r="N66" s="255" t="s">
        <v>75</v>
      </c>
      <c r="O66" s="264"/>
      <c r="P66" s="256"/>
    </row>
    <row r="67" spans="1:16" x14ac:dyDescent="0.25">
      <c r="A67" s="283" t="str">
        <f>IF(C$6="Met","","2018-19 Total")</f>
        <v>2018-19 Total</v>
      </c>
      <c r="B67" s="270">
        <f>IF(A67="","",IF($B$1="Eligibility",'16. 18-19 Exc &amp; Adj'!$B$66,IF($B$1="Compliance",'16. 18-19 Exc &amp; Adj'!$I$66)))</f>
        <v>0</v>
      </c>
      <c r="C67" s="264"/>
      <c r="E67" s="267" t="str">
        <f>IF(G$6="Met","","2018-19 Total")</f>
        <v>2018-19 Total</v>
      </c>
      <c r="F67" s="270">
        <f>IF(E67="","",IF($B$1="Eligibility",'16. 18-19 Exc &amp; Adj'!$B$66,IF($B$1="Compliance",'16. 18-19 Exc &amp; Adj'!$I$66)))</f>
        <v>0</v>
      </c>
      <c r="G67" s="264"/>
      <c r="I67" s="267" t="str">
        <f>IF(K$6="Met","","2018-19 Total")</f>
        <v>2018-19 Total</v>
      </c>
      <c r="J67" s="270">
        <f>IF(I67="","",IF($B$1="Eligibility",'16. 18-19 Exc &amp; Adj'!$B$66,IF($B$1="Compliance",'16. 18-19 Exc &amp; Adj'!$I$66)))</f>
        <v>0</v>
      </c>
      <c r="K67" s="264"/>
      <c r="L67" s="219"/>
      <c r="M67" s="267" t="str">
        <f>IF(O$6="Met","","2018-19 Total")</f>
        <v>2018-19 Total</v>
      </c>
      <c r="N67" s="270">
        <f>IF(M67="","",IF($B$1="Eligibility",'16. 18-19 Exc &amp; Adj'!$B$66,IF($B$1="Compliance",'16. 18-19 Exc &amp; Adj'!$I$66)))</f>
        <v>0</v>
      </c>
      <c r="O67" s="264"/>
      <c r="P67" s="219"/>
    </row>
    <row r="68" spans="1:16" x14ac:dyDescent="0.25">
      <c r="A68" s="283" t="str">
        <f>IF(C$6="Met","",IF(B$4="2017-2018","","2017-18 Total"))</f>
        <v>2017-18 Total</v>
      </c>
      <c r="B68" s="270">
        <f>IF(A68="","",IF($B$1="Eligibility",'13. 17-18 Exc &amp; Adj'!$B$66,IF($B$1="Compliance",'13. 17-18 Exc &amp; Adj'!$I$66)))</f>
        <v>0</v>
      </c>
      <c r="C68" s="264"/>
      <c r="D68" s="272"/>
      <c r="E68" s="267" t="str">
        <f>IF(G$6="Met","",IF(F$4="2017-2018","","2017-18 Total"))</f>
        <v>2017-18 Total</v>
      </c>
      <c r="F68" s="270">
        <f>IF(E68="","",IF($B$1="Eligibility",'13. 17-18 Exc &amp; Adj'!$B$66,IF($B$1="Compliance",'13. 17-18 Exc &amp; Adj'!$I$66)))</f>
        <v>0</v>
      </c>
      <c r="G68" s="264"/>
      <c r="H68" s="272"/>
      <c r="I68" s="267" t="str">
        <f>IF(K$6="Met","",IF(J$4="2017-2018","","2017-18 Total"))</f>
        <v>2017-18 Total</v>
      </c>
      <c r="J68" s="270">
        <f>IF(I68="","",IF($B$1="Eligibility",'13. 17-18 Exc &amp; Adj'!$B$66,IF($B$1="Compliance",'13. 17-18 Exc &amp; Adj'!$I$66)))</f>
        <v>0</v>
      </c>
      <c r="K68" s="264"/>
      <c r="L68" s="272"/>
      <c r="M68" s="267" t="str">
        <f>IF(O$6="Met","",IF(N$4="2017-2018","","2017-18 Total"))</f>
        <v>2017-18 Total</v>
      </c>
      <c r="N68" s="270">
        <f>IF(M68="","",IF($B$1="Eligibility",'13. 17-18 Exc &amp; Adj'!$B$66,IF($B$1="Compliance",'13. 17-18 Exc &amp; Adj'!$I$66)))</f>
        <v>0</v>
      </c>
      <c r="O68" s="264"/>
      <c r="P68" s="272"/>
    </row>
    <row r="69" spans="1:16" x14ac:dyDescent="0.25">
      <c r="A69" s="283" t="str">
        <f>IF(C$6="Met","",IF(OR(B$4="2017-2018",B$4="2016-2017"),"","2016-17 Total"))</f>
        <v>2016-17 Total</v>
      </c>
      <c r="B69" s="270">
        <f>IF(A69="","",'10. 16-17 Exc &amp; Adj'!$I$66)</f>
        <v>0</v>
      </c>
      <c r="C69" s="264"/>
      <c r="D69" s="273"/>
      <c r="E69" s="267" t="str">
        <f>IF(G$6="Met","",IF(OR(F$4="2017-2018",F$4="2016-2017"),"","2016-17 Total"))</f>
        <v>2016-17 Total</v>
      </c>
      <c r="F69" s="270">
        <f>IF(E69="","",'10. 16-17 Exc &amp; Adj'!$I$66)</f>
        <v>0</v>
      </c>
      <c r="G69" s="264"/>
      <c r="H69" s="273"/>
      <c r="I69" s="267" t="str">
        <f>IF(K$6="Met","",IF(OR(J$4="2017-2018",J$4="2016-2017"),"","2016-17 Total"))</f>
        <v>2016-17 Total</v>
      </c>
      <c r="J69" s="270">
        <f>IF(I69="","",'10. 16-17 Exc &amp; Adj'!$I$66)</f>
        <v>0</v>
      </c>
      <c r="K69" s="264"/>
      <c r="L69" s="273"/>
      <c r="M69" s="267" t="str">
        <f>IF(O$6="Met","",IF(OR(N$4="2017-2018",N$4="2016-2017"),"","2016-17 Total"))</f>
        <v>2016-17 Total</v>
      </c>
      <c r="N69" s="270">
        <f>IF(M69="","",'10. 16-17 Exc &amp; Adj'!$I$66)</f>
        <v>0</v>
      </c>
      <c r="O69" s="264"/>
      <c r="P69" s="273"/>
    </row>
    <row r="70" spans="1:16" x14ac:dyDescent="0.25">
      <c r="A70" s="388" t="str">
        <f>IF(C$6="Met","",IF(OR(B$4="2017-2018",B$4="2016-2017",B$4="2015-2016"),"","2015-16 Total"))</f>
        <v>2015-16 Total</v>
      </c>
      <c r="B70" s="270">
        <f>IF(A70="","",'7. 15-16 Exc &amp; Adj'!$I$66)</f>
        <v>0</v>
      </c>
      <c r="C70" s="264"/>
      <c r="D70" s="220"/>
      <c r="E70" s="257" t="str">
        <f>IF(G$6="Met","",IF(OR(F$4="2017-2018",F$4="2016-2017",F$4="2015-2016"),"","2015-16 Total"))</f>
        <v>2015-16 Total</v>
      </c>
      <c r="F70" s="270">
        <f>IF(E70="","",'7. 15-16 Exc &amp; Adj'!$I$66)</f>
        <v>0</v>
      </c>
      <c r="G70" s="264"/>
      <c r="H70" s="220"/>
      <c r="I70" s="257" t="str">
        <f>IF(K$6="Met","",IF(OR(J$4="2017-2018",J$4="2016-2017",J$4="2015-2016"),"","2015-16 Total"))</f>
        <v>2015-16 Total</v>
      </c>
      <c r="J70" s="270">
        <f>IF(I70="","",'7. 15-16 Exc &amp; Adj'!$I$66)</f>
        <v>0</v>
      </c>
      <c r="K70" s="264"/>
      <c r="M70" s="257" t="str">
        <f>IF(O$6="Met","",IF(OR(N$4="2017-2018",N$4="2016-2017",N$4="2015-2016"),"","2015-16 Total"))</f>
        <v>2015-16 Total</v>
      </c>
      <c r="N70" s="270">
        <f>IF(M70="","",'7. 15-16 Exc &amp; Adj'!$I$66)</f>
        <v>0</v>
      </c>
      <c r="O70" s="264"/>
    </row>
    <row r="71" spans="1:16" x14ac:dyDescent="0.25">
      <c r="A71" s="388" t="str">
        <f>IF(C$6="Met","",IF(OR(B$4="2017-2018",B$4="2016-2017",B$4="2015-2016",B$4="2014-2015"),"","2014-15 Total"))</f>
        <v>2014-15 Total</v>
      </c>
      <c r="B71" s="270">
        <f>IF(A71="","",'23. 14-15 Exc &amp; Adj'!B65)</f>
        <v>0</v>
      </c>
      <c r="C71" s="264"/>
      <c r="E71" s="257" t="str">
        <f>IF(G$6="Met","",IF(OR(F$4="2017-2018",F$4="2016-2017",F$4="2015-2016",F$4="2014-2015"),"","2014-15 Total"))</f>
        <v>2014-15 Total</v>
      </c>
      <c r="F71" s="270">
        <f>IF(E71="","",'23. 14-15 Exc &amp; Adj'!B65)</f>
        <v>0</v>
      </c>
      <c r="G71" s="264"/>
      <c r="I71" s="257" t="str">
        <f>IF(K$6="Met","",IF(OR(J$4="2017-2018",J$4="2016-2017",J$4="2015-2016",J$4="2014-2015"),"","2014-15 Total"))</f>
        <v>2014-15 Total</v>
      </c>
      <c r="J71" s="270">
        <f>IF(I71="","",'23. 14-15 Exc &amp; Adj'!B65)</f>
        <v>0</v>
      </c>
      <c r="K71" s="264"/>
      <c r="M71" s="257" t="str">
        <f>IF(O$6="Met","",IF(OR(N$4="2017-2018",N$4="2016-2017",N$4="2015-2016",N$4="2014-2015"),"","2014-15 Total"))</f>
        <v>2014-15 Total</v>
      </c>
      <c r="N71" s="270">
        <f>IF(M71="","",'23. 14-15 Exc &amp; Adj'!B65)</f>
        <v>0</v>
      </c>
      <c r="O71" s="264"/>
      <c r="P71" s="219"/>
    </row>
    <row r="72" spans="1:16" x14ac:dyDescent="0.25">
      <c r="A72" s="288" t="str">
        <f>IF(C$6="Met","",IF(OR(B$4="2017-2018",B$4="2016-2017",B$4="2015-2016",B$4="2014-2015",B$4="2013-2014"),"","2013-14 Total"))</f>
        <v>2013-14 Total</v>
      </c>
      <c r="B72" s="270">
        <f>IF(A72="","",'22. 13-14 Exc &amp; Adj'!B65)</f>
        <v>0</v>
      </c>
      <c r="C72" s="264"/>
      <c r="E72" s="259" t="str">
        <f>IF(G$6="Met","",IF(OR(F$4="2017-2018",F$4="2016-2017",F$4="2015-2016",F$4="2014-2015",F$4="2013-2014"),"","2013-14 Total"))</f>
        <v>2013-14 Total</v>
      </c>
      <c r="F72" s="270">
        <f>IF(E72="","",'22. 13-14 Exc &amp; Adj'!B65)</f>
        <v>0</v>
      </c>
      <c r="G72" s="264"/>
      <c r="I72" s="259" t="str">
        <f>IF(K$6="Met","",IF(OR(J$4="2017-2018",J$4="2016-2017",J$4="2015-2016",J$4="2014-2015",J$4="2013-2014"),"","2013-14 Total"))</f>
        <v>2013-14 Total</v>
      </c>
      <c r="J72" s="270">
        <f>IF(I72="","",'22. 13-14 Exc &amp; Adj'!B65)</f>
        <v>0</v>
      </c>
      <c r="K72" s="264"/>
      <c r="M72" s="259" t="str">
        <f>IF(O$6="Met","",IF(OR(N$4="2017-2018",N$4="2016-2017",N$4="2015-2016",N$4="2014-2015",N$4="2013-2014"),"","2013-14 Total"))</f>
        <v>2013-14 Total</v>
      </c>
      <c r="N72" s="270">
        <f>IF(M72="","",'22. 13-14 Exc &amp; Adj'!B65)</f>
        <v>0</v>
      </c>
      <c r="O72" s="264"/>
      <c r="P72" s="219"/>
    </row>
    <row r="73" spans="1:16" x14ac:dyDescent="0.25">
      <c r="A73" s="389" t="str">
        <f>IF(C$6="Met","",IF(OR(B$4="2017-2018",B$4="2016-2017",B$4="2015-2016",B$4="2014-2015",B$4="2013-2014",B$4="2012-2013"),"","2012-13 Total"))</f>
        <v>2012-13 Total</v>
      </c>
      <c r="B73" s="271">
        <f>IF(A73="","",'21. 12-13 Exc &amp; Adj'!B65)</f>
        <v>0</v>
      </c>
      <c r="C73" s="264"/>
      <c r="E73" s="260" t="str">
        <f>IF(G$6="Met","",IF(OR(F$4="2017-2018",F$4="2016-2017",F$4="2015-2016",F$4="2014-2015",F$4="2013-2014",F$4="2012-2013"),"","2012-13 Total"))</f>
        <v>2012-13 Total</v>
      </c>
      <c r="F73" s="271">
        <f>IF(E73="","",'21. 12-13 Exc &amp; Adj'!B65)</f>
        <v>0</v>
      </c>
      <c r="G73" s="264"/>
      <c r="I73" s="260" t="str">
        <f>IF(K$6="Met","",IF(OR(J$4="2017-2018",J$4="2016-2017",J$4="2015-2016",J$4="2014-2015",J$4="2013-2014",J$4="2012-2013"),"","2012-13 Total"))</f>
        <v>2012-13 Total</v>
      </c>
      <c r="J73" s="271">
        <f>IF(I73="","",'21. 12-13 Exc &amp; Adj'!B65)</f>
        <v>0</v>
      </c>
      <c r="K73" s="264"/>
      <c r="L73" s="219"/>
      <c r="M73" s="260" t="str">
        <f>IF(O$6="Met","",IF(OR(N$4="2017-2018",N$4="2016-2017",N$4="2015-2016",N$4="2014-2015",N$4="2013-2014",N$4="2012-2013"),"","2012-13 Total"))</f>
        <v>2012-13 Total</v>
      </c>
      <c r="N73" s="271">
        <f>IF(M73="","",'21. 12-13 Exc &amp; Adj'!B65)</f>
        <v>0</v>
      </c>
      <c r="O73" s="264"/>
      <c r="P73" s="219"/>
    </row>
    <row r="74" spans="1:16" x14ac:dyDescent="0.25">
      <c r="A74" s="283" t="str">
        <f>IF(C$6="Met","",IF(OR(B$4="2017-2018",B$4="2016-2017",B$4="2015-2016",B$4="2014-2015",B$4="2013-2014",B$4="2012-2013",B$4="2011-2012"),"","2011-12 Total"))</f>
        <v>2011-12 Total</v>
      </c>
      <c r="B74" s="268">
        <f>IF(A74="","",'20. 11-12 Exc &amp; Adj'!B65)</f>
        <v>0</v>
      </c>
      <c r="C74" s="264"/>
      <c r="E74" s="267" t="str">
        <f>IF(G$6="Met","",IF(OR(F$4="2017-2018",F$4="2016-2017",F$4="2015-2016",F$4="2014-2015",F$4="2013-2014",F$4="2012-2013",F$4="2011-2012"),"","2011-12 Total"))</f>
        <v>2011-12 Total</v>
      </c>
      <c r="F74" s="270">
        <f>IF(E74="","",'20. 11-12 Exc &amp; Adj'!B65)</f>
        <v>0</v>
      </c>
      <c r="G74" s="264"/>
      <c r="I74" s="267" t="str">
        <f>IF(K$6="Met","",IF(OR(J$4="2017-2018",J$4="2016-2017",J$4="2015-2016",J$4="2014-2015",J$4="2013-2014",J$4="2012-2013",J$4="2011-2012"),"","2011-12 Total"))</f>
        <v>2011-12 Total</v>
      </c>
      <c r="J74" s="270">
        <f>IF(I74="","",'20. 11-12 Exc &amp; Adj'!B65)</f>
        <v>0</v>
      </c>
      <c r="K74" s="264"/>
      <c r="L74" s="219"/>
      <c r="M74" s="267" t="str">
        <f>IF(O$6="Met","",IF(OR(N$4="2017-2018",N$4="2016-2017",N$4="2015-2016",N$4="2014-2015",N$4="2013-2014",N$4="2012-2013",N$4="2011-2012"),"","2011-12 Total"))</f>
        <v>2011-12 Total</v>
      </c>
      <c r="N74" s="268">
        <f>IF(M74="","",'20. 11-12 Exc &amp; Adj'!B65)</f>
        <v>0</v>
      </c>
      <c r="O74" s="264"/>
      <c r="P74" s="219"/>
    </row>
    <row r="75" spans="1:16" x14ac:dyDescent="0.25">
      <c r="A75" s="494" t="s">
        <v>219</v>
      </c>
      <c r="B75" s="495"/>
      <c r="C75" s="264"/>
      <c r="E75" s="494" t="s">
        <v>219</v>
      </c>
      <c r="F75" s="495"/>
      <c r="G75" s="264"/>
      <c r="I75" s="494" t="s">
        <v>219</v>
      </c>
      <c r="J75" s="495"/>
      <c r="K75" s="264"/>
      <c r="L75" s="219"/>
      <c r="M75" s="494" t="s">
        <v>219</v>
      </c>
      <c r="N75" s="495"/>
      <c r="O75" s="264"/>
      <c r="P75" s="219"/>
    </row>
    <row r="76" spans="1:16" ht="16.5" thickBot="1" x14ac:dyDescent="0.3">
      <c r="A76" s="274" t="s">
        <v>77</v>
      </c>
      <c r="B76" s="318">
        <f>IF(C6="Met","",SUM(B17:B24,B28:B35,B43:B50,B55:B62,B67:B74))</f>
        <v>0</v>
      </c>
      <c r="C76" s="276"/>
      <c r="E76" s="274" t="s">
        <v>77</v>
      </c>
      <c r="F76" s="318">
        <f>IF(G6="Met","",SUM(F17:F24,F28:F35,F43:F50,F55:F62,F67:F74))</f>
        <v>0</v>
      </c>
      <c r="G76" s="276"/>
      <c r="I76" s="277" t="s">
        <v>101</v>
      </c>
      <c r="J76" s="101">
        <f>IF(K6="Met","",IF('3. Getting Started'!B7="No",SUM(J17:J24,J43:J50,J55:J62,J67:J74),IF('3. Getting Started'!B7="Yes",SUM(J17:J24,J28:J35,J43:J50,J55:J62,J67:J74),0)))</f>
        <v>0</v>
      </c>
      <c r="K76" s="264"/>
      <c r="L76" s="219"/>
      <c r="M76" s="277" t="s">
        <v>101</v>
      </c>
      <c r="N76" s="101">
        <f>IF(O6="Met","",IF('3. Getting Started'!B7="No",SUM(N17:N24,N43:N50,N55:N62,N67:N74),IF('3. Getting Started'!B7="Yes",SUM(N17:N24,N28:N35,N43:N50,N55:N62,N67:N74),0)))</f>
        <v>0</v>
      </c>
      <c r="O76" s="264"/>
      <c r="P76" s="219"/>
    </row>
    <row r="77" spans="1:16" ht="16.5" thickBot="1" x14ac:dyDescent="0.3">
      <c r="A77" s="490" t="s">
        <v>219</v>
      </c>
      <c r="B77" s="490"/>
      <c r="C77" s="490"/>
      <c r="E77" s="490" t="s">
        <v>219</v>
      </c>
      <c r="F77" s="490"/>
      <c r="G77" s="490"/>
      <c r="I77" s="274" t="s">
        <v>100</v>
      </c>
      <c r="J77" s="319" t="str">
        <f>IF(J93=0,"",IF(K6="Met","",IF('3. Getting Started'!B7="No",((J76/J93)+SUM(J28:J35)),IF('3. Getting Started'!B7="Yes",(J76/J93)))))</f>
        <v/>
      </c>
      <c r="K77" s="276"/>
      <c r="L77" s="219"/>
      <c r="M77" s="274" t="s">
        <v>100</v>
      </c>
      <c r="N77" s="319" t="str">
        <f>IF(N93=0,"",IF(O6="Met","",IF('3. Getting Started'!B7="No",((N76/N93)+SUM(N28:N35)),IF('3. Getting Started'!B7="Yes",(N76/N93)))))</f>
        <v/>
      </c>
      <c r="O77" s="276"/>
      <c r="P77" s="219"/>
    </row>
    <row r="78" spans="1:16" ht="19.5" thickBot="1" x14ac:dyDescent="0.3">
      <c r="A78" s="278" t="s">
        <v>11</v>
      </c>
      <c r="B78" s="279"/>
      <c r="C78" s="280"/>
      <c r="E78" s="278" t="s">
        <v>11</v>
      </c>
      <c r="F78" s="279"/>
      <c r="G78" s="280"/>
      <c r="I78" s="490" t="s">
        <v>219</v>
      </c>
      <c r="J78" s="490"/>
      <c r="K78" s="490"/>
      <c r="L78" s="219"/>
      <c r="M78" s="490" t="s">
        <v>219</v>
      </c>
      <c r="N78" s="490"/>
      <c r="O78" s="490"/>
      <c r="P78" s="219"/>
    </row>
    <row r="79" spans="1:16" ht="18.75" x14ac:dyDescent="0.25">
      <c r="A79" s="254" t="s">
        <v>74</v>
      </c>
      <c r="B79" s="255" t="s">
        <v>75</v>
      </c>
      <c r="C79" s="282"/>
      <c r="E79" s="254" t="s">
        <v>74</v>
      </c>
      <c r="F79" s="255" t="s">
        <v>75</v>
      </c>
      <c r="G79" s="282"/>
      <c r="I79" s="278" t="s">
        <v>11</v>
      </c>
      <c r="J79" s="279"/>
      <c r="K79" s="280"/>
      <c r="L79" s="219"/>
      <c r="M79" s="278" t="s">
        <v>11</v>
      </c>
      <c r="N79" s="279"/>
      <c r="O79" s="280"/>
      <c r="P79" s="219"/>
    </row>
    <row r="80" spans="1:16" x14ac:dyDescent="0.25">
      <c r="A80" s="267" t="str">
        <f>IF(C$6="Met","","2018-19 Adjustment")</f>
        <v>2018-19 Adjustment</v>
      </c>
      <c r="B80" s="270">
        <f>IF(A80="","",IF($B$1="Eligibility",'16. 18-19 Exc &amp; Adj'!$B$70,IF($B$1="Compliance",'16. 18-19 Exc &amp; Adj'!$I$70)))</f>
        <v>0</v>
      </c>
      <c r="C80" s="320"/>
      <c r="E80" s="267" t="str">
        <f>IF(G$6="Met","","2018-19 Adjustment")</f>
        <v>2018-19 Adjustment</v>
      </c>
      <c r="F80" s="270">
        <f>IF(E80="","",IF($B$1="Eligibility",'16. 18-19 Exc &amp; Adj'!$B$70,IF($B$1="Compliance",'16. 18-19 Exc &amp; Adj'!$I$70)))</f>
        <v>0</v>
      </c>
      <c r="G80" s="320"/>
      <c r="I80" s="254" t="s">
        <v>74</v>
      </c>
      <c r="J80" s="255" t="s">
        <v>75</v>
      </c>
      <c r="K80" s="282"/>
      <c r="L80" s="219"/>
      <c r="M80" s="254" t="s">
        <v>74</v>
      </c>
      <c r="N80" s="255" t="s">
        <v>75</v>
      </c>
      <c r="O80" s="282"/>
      <c r="P80" s="219"/>
    </row>
    <row r="81" spans="1:16" x14ac:dyDescent="0.25">
      <c r="A81" s="267" t="str">
        <f>IF(C$6="Met","",IF(B$4="2017-2018","","2017-18 Adjustment"))</f>
        <v>2017-18 Adjustment</v>
      </c>
      <c r="B81" s="270">
        <f>IF(A81="","",IF($B$1="Eligibility",'13. 17-18 Exc &amp; Adj'!$B$70,IF($B$1="Compliance",'13. 17-18 Exc &amp; Adj'!$I$70)))</f>
        <v>0</v>
      </c>
      <c r="C81" s="320"/>
      <c r="E81" s="267" t="str">
        <f>IF(G$6="Met","",IF(F$4="2017-2018","","2017-18 Adjustment"))</f>
        <v>2017-18 Adjustment</v>
      </c>
      <c r="F81" s="270">
        <f>IF(E81="","",IF($B$1="Eligibility",'13. 17-18 Exc &amp; Adj'!$B$70,IF($B$1="Compliance",'13. 17-18 Exc &amp; Adj'!$I$70)))</f>
        <v>0</v>
      </c>
      <c r="G81" s="320"/>
      <c r="I81" s="267" t="str">
        <f>IF(K$6="Met","","2018-19 Adjustment")</f>
        <v>2018-19 Adjustment</v>
      </c>
      <c r="J81" s="270">
        <f>IF(I81="","",IF($B$1="Eligibility",'16. 18-19 Exc &amp; Adj'!$B$70,IF($B$1="Compliance",'16. 18-19 Exc &amp; Adj'!$I$70)))</f>
        <v>0</v>
      </c>
      <c r="K81" s="320"/>
      <c r="L81" s="219"/>
      <c r="M81" s="267" t="str">
        <f>IF(O$6="Met","","2018-19 Adjustment")</f>
        <v>2018-19 Adjustment</v>
      </c>
      <c r="N81" s="270">
        <f>IF(M81="","",IF($B$1="Eligibility",'16. 18-19 Exc &amp; Adj'!$B$70,IF($B$1="Compliance",'16. 18-19 Exc &amp; Adj'!$I$70)))</f>
        <v>0</v>
      </c>
      <c r="O81" s="320"/>
      <c r="P81" s="219"/>
    </row>
    <row r="82" spans="1:16" x14ac:dyDescent="0.25">
      <c r="A82" s="267" t="str">
        <f>IF(C$6="Met","",IF(OR(B$4="2017-2018",B$4="2016-2017"),"","2016-17 Adjustment"))</f>
        <v>2016-17 Adjustment</v>
      </c>
      <c r="B82" s="270">
        <f>IF(A82="","",'10. 16-17 Exc &amp; Adj'!$I$70)</f>
        <v>0</v>
      </c>
      <c r="C82" s="284"/>
      <c r="E82" s="267" t="str">
        <f>IF(G$6="Met","",IF(OR(F$4="2017-2018",F$4="2016-2017"),"","2016-17 Adjustment"))</f>
        <v>2016-17 Adjustment</v>
      </c>
      <c r="F82" s="270">
        <f>IF(E82="","",'10. 16-17 Exc &amp; Adj'!$I$70)</f>
        <v>0</v>
      </c>
      <c r="G82" s="284"/>
      <c r="I82" s="267" t="str">
        <f>IF(K$6="Met","",IF(J$4="2017-2018","","2017-18 Adjustment"))</f>
        <v>2017-18 Adjustment</v>
      </c>
      <c r="J82" s="270">
        <f>IF(I82="","",IF($B$1="Eligibility",'13. 17-18 Exc &amp; Adj'!$B$70,IF($B$1="Compliance",'13. 17-18 Exc &amp; Adj'!$I$70)))</f>
        <v>0</v>
      </c>
      <c r="K82" s="320"/>
      <c r="L82" s="219"/>
      <c r="M82" s="267" t="str">
        <f>IF(O$6="Met","",IF(N$4="2017-2018","","2017-18 Adjustment"))</f>
        <v>2017-18 Adjustment</v>
      </c>
      <c r="N82" s="270">
        <f>IF(M82="","",IF($B$1="Eligibility",'13. 17-18 Exc &amp; Adj'!$B$70,IF($B$1="Compliance",'13. 17-18 Exc &amp; Adj'!$I$70)))</f>
        <v>0</v>
      </c>
      <c r="O82" s="320"/>
      <c r="P82" s="219"/>
    </row>
    <row r="83" spans="1:16" x14ac:dyDescent="0.25">
      <c r="A83" s="257" t="str">
        <f>IF(C$6="Met","",IF(OR(B$4="2017-2018",B$4="2016-2017",B$4="2015-2016"),"","2015-16 Adjustment"))</f>
        <v>2015-16 Adjustment</v>
      </c>
      <c r="B83" s="270">
        <f>IF(A83="","",'7. 15-16 Exc &amp; Adj'!$I$70)</f>
        <v>0</v>
      </c>
      <c r="C83" s="284"/>
      <c r="E83" s="257" t="str">
        <f>IF(G$6="Met","",IF(OR(F$4="2017-2018",F$4="2016-2017",F$4="2015-2016"),"","2015-16 Adjustment"))</f>
        <v>2015-16 Adjustment</v>
      </c>
      <c r="F83" s="270">
        <f>IF(E83="","",'7. 15-16 Exc &amp; Adj'!$I$70)</f>
        <v>0</v>
      </c>
      <c r="G83" s="284"/>
      <c r="I83" s="267" t="str">
        <f>IF(K$6="Met","",IF(OR(J$4="2017-2018",J$4="2016-2017"),"","2016-17 Adjustment"))</f>
        <v>2016-17 Adjustment</v>
      </c>
      <c r="J83" s="270">
        <f>IF(I83="","",'10. 16-17 Exc &amp; Adj'!$I$70)</f>
        <v>0</v>
      </c>
      <c r="K83" s="284"/>
      <c r="L83" s="219"/>
      <c r="M83" s="267" t="str">
        <f>IF(O$6="Met","",IF(OR(N$4="2017-2018",N$4="2016-2017"),"","2016-17 Adjustment"))</f>
        <v>2016-17 Adjustment</v>
      </c>
      <c r="N83" s="270">
        <f>IF(M83="","",'10. 16-17 Exc &amp; Adj'!$I$70)</f>
        <v>0</v>
      </c>
      <c r="O83" s="284"/>
      <c r="P83" s="219"/>
    </row>
    <row r="84" spans="1:16" x14ac:dyDescent="0.25">
      <c r="A84" s="257" t="str">
        <f>IF(C$6="Met","",IF(OR(B$4="2017-2018",B$4="2016-2017",B$4="2015-2016",B$4="2014-2015"),"","2014-15 Adjustment"))</f>
        <v>2014-15 Adjustment</v>
      </c>
      <c r="B84" s="270">
        <f>IF(A84="","",'23. 14-15 Exc &amp; Adj'!B69)</f>
        <v>0</v>
      </c>
      <c r="C84" s="284"/>
      <c r="E84" s="257" t="str">
        <f>IF(G$6="Met","",IF(OR(F$4="2017-2018",F$4="2016-2017",F$4="2015-2016",F$4="2014-2015"),"","2014-15 Adjustment"))</f>
        <v>2014-15 Adjustment</v>
      </c>
      <c r="F84" s="270">
        <f>IF(E84="","",'23. 14-15 Exc &amp; Adj'!B69)</f>
        <v>0</v>
      </c>
      <c r="G84" s="284"/>
      <c r="I84" s="257" t="str">
        <f>IF(K$6="Met","",IF(OR(J$4="2017-2018",J$4="2016-2017",J$4="2015-2016"),"","2015-16 Adjustment"))</f>
        <v>2015-16 Adjustment</v>
      </c>
      <c r="J84" s="270">
        <f>IF(I84="","",'7. 15-16 Exc &amp; Adj'!$I$70)</f>
        <v>0</v>
      </c>
      <c r="K84" s="284"/>
      <c r="L84" s="219"/>
      <c r="M84" s="257" t="str">
        <f>IF(O$6="Met","",IF(OR(N$4="2017-2018",N$4="2016-2017",N$4="2015-2016"),"","2015-16 Adjustment"))</f>
        <v>2015-16 Adjustment</v>
      </c>
      <c r="N84" s="270">
        <f>IF(M84="","",'7. 15-16 Exc &amp; Adj'!$I$70)</f>
        <v>0</v>
      </c>
      <c r="O84" s="284"/>
    </row>
    <row r="85" spans="1:16" x14ac:dyDescent="0.25">
      <c r="A85" s="259" t="str">
        <f>IF(C$6="Met","",IF(OR(B$4="2017-2018",B$4="2016-2017",B$4="2015-2016",B$4="2014-2015",B$4="2013-2014"),"","2013-14 Adjustment"))</f>
        <v>2013-14 Adjustment</v>
      </c>
      <c r="B85" s="270">
        <f>IF(A85="","",'22. 13-14 Exc &amp; Adj'!B69)</f>
        <v>0</v>
      </c>
      <c r="C85" s="284"/>
      <c r="E85" s="259" t="str">
        <f>IF(G$6="Met","",IF(OR(F$4="2017-2018",F$4="2016-2017",F$4="2015-2016",F$4="2014-2015",F$4="2013-2014"),"","2013-14 Adjustment"))</f>
        <v>2013-14 Adjustment</v>
      </c>
      <c r="F85" s="270">
        <f>IF(E85="","",'22. 13-14 Exc &amp; Adj'!B69)</f>
        <v>0</v>
      </c>
      <c r="G85" s="284"/>
      <c r="I85" s="257" t="str">
        <f>IF(K$6="Met","",IF(OR(J$4="2017-2018",J$4="2016-2017",J$4="2015-2016",J$4="2014-2015"),"","2014-15 Adjustment"))</f>
        <v>2014-15 Adjustment</v>
      </c>
      <c r="J85" s="270">
        <f>IF(I85="","",'23. 14-15 Exc &amp; Adj'!B69)</f>
        <v>0</v>
      </c>
      <c r="K85" s="284"/>
      <c r="L85" s="219"/>
      <c r="M85" s="257" t="str">
        <f>IF(O$6="Met","",IF(OR(N$4="2017-2018",N$4="2016-2017",N$4="2015-2016",N$4="2014-2015"),"","2014-15 Adjustment"))</f>
        <v>2014-15 Adjustment</v>
      </c>
      <c r="N85" s="270">
        <f>IF(M85="","",'23. 14-15 Exc &amp; Adj'!B69)</f>
        <v>0</v>
      </c>
      <c r="O85" s="284"/>
    </row>
    <row r="86" spans="1:16" x14ac:dyDescent="0.25">
      <c r="A86" s="260" t="str">
        <f>IF(C$6="Met","",IF(OR(B$4="2017-2018",B$4="2016-2017",B$4="2015-2016",B$4="2014-2015",B$4="2013-2014",B$4="2012-2013"),"","2012-13 Adjustment"))</f>
        <v>2012-13 Adjustment</v>
      </c>
      <c r="B86" s="271">
        <f>IF(A86="","",'21. 12-13 Exc &amp; Adj'!B69)</f>
        <v>0</v>
      </c>
      <c r="C86" s="284"/>
      <c r="E86" s="260" t="str">
        <f>IF(G$6="Met","",IF(OR(F$4="2017-2018",F$4="2016-2017",F$4="2015-2016",F$4="2014-2015",F$4="2013-2014",F$4="2012-2013"),"","2012-13 Adjustment"))</f>
        <v>2012-13 Adjustment</v>
      </c>
      <c r="F86" s="271">
        <f>IF(E86="","",'21. 12-13 Exc &amp; Adj'!B69)</f>
        <v>0</v>
      </c>
      <c r="G86" s="284"/>
      <c r="I86" s="259" t="str">
        <f>IF(K$6="Met","",IF(OR(J$4="2017-2018",J$4="2016-2017",J$4="2015-2016",J$4="2014-2015",J$4="2013-2014"),"","2013-14 Adjustment"))</f>
        <v>2013-14 Adjustment</v>
      </c>
      <c r="J86" s="270">
        <f>IF(I86="","",'22. 13-14 Exc &amp; Adj'!B69)</f>
        <v>0</v>
      </c>
      <c r="K86" s="284"/>
      <c r="M86" s="259" t="str">
        <f>IF(O$6="Met","",IF(OR(N$4="2017-2018",N$4="2016-2017",N$4="2015-2016",N$4="2014-2015",N$4="2013-2014"),"","2013-14 Adjustment"))</f>
        <v>2013-14 Adjustment</v>
      </c>
      <c r="N86" s="270">
        <f>IF(M86="","",'22. 13-14 Exc &amp; Adj'!B69)</f>
        <v>0</v>
      </c>
      <c r="O86" s="284"/>
    </row>
    <row r="87" spans="1:16" x14ac:dyDescent="0.25">
      <c r="A87" s="391" t="str">
        <f>IF(C$6="Met","",IF(OR(B$4="2017-2018",B$4="2016-2017",B$4="2015-2016",B$4="2014-2015",B$4="2013-2014",B$4="2012-2013",B$4="2011-2012"),"","2011-12 Adjustment"))</f>
        <v>2011-12 Adjustment</v>
      </c>
      <c r="B87" s="271">
        <f>IF(A87="","",'20. 11-12 Exc &amp; Adj'!B69)</f>
        <v>0</v>
      </c>
      <c r="C87" s="284"/>
      <c r="E87" s="391" t="str">
        <f>IF(G$6="Met","",IF(OR(F$4="2017-2018",F$4="2016-2017",F$4="2015-2016",F$4="2014-2015",F$4="2013-2014",F$4="2012-2013",F$4="2011-2012"),"","2011-12 Adjustment"))</f>
        <v>2011-12 Adjustment</v>
      </c>
      <c r="F87" s="271">
        <f>IF(E87="","",'20. 11-12 Exc &amp; Adj'!B69)</f>
        <v>0</v>
      </c>
      <c r="G87" s="284"/>
      <c r="I87" s="260" t="str">
        <f>IF(K$6="Met","",IF(OR(J$4="2017-2018",J$4="2016-2017",J$4="2015-2016",J$4="2014-2015",J$4="2013-2014",J$4="2012-2013"),"","2012-13 Adjustment"))</f>
        <v>2012-13 Adjustment</v>
      </c>
      <c r="J87" s="271">
        <f>IF(I87="","",'21. 12-13 Exc &amp; Adj'!B69)</f>
        <v>0</v>
      </c>
      <c r="K87" s="284"/>
      <c r="M87" s="260" t="str">
        <f>IF(O$6="Met","",IF(OR(N$4="2017-2018",N$4="2016-2017",N$4="2015-2016",N$4="2014-2015",N$4="2013-2014",N$4="2012-2013"),"","2012-13 Adjustment"))</f>
        <v>2012-13 Adjustment</v>
      </c>
      <c r="N87" s="271">
        <f>IF(M87="","",'21. 12-13 Exc &amp; Adj'!B69)</f>
        <v>0</v>
      </c>
      <c r="O87" s="284"/>
    </row>
    <row r="88" spans="1:16" x14ac:dyDescent="0.25">
      <c r="A88" s="489" t="s">
        <v>219</v>
      </c>
      <c r="B88" s="489"/>
      <c r="C88" s="284"/>
      <c r="E88" s="488" t="s">
        <v>219</v>
      </c>
      <c r="F88" s="489"/>
      <c r="G88" s="284"/>
      <c r="I88" s="391" t="str">
        <f>IF(K$6="Met","",IF(OR(J$4="2017-2018",J$4="2016-2017",J$4="2015-2016",J$4="2014-2015",J$4="2013-2014",J$4="2012-2013",J$4="2011-2012"),"","2011-12 Adjustment"))</f>
        <v>2011-12 Adjustment</v>
      </c>
      <c r="J88" s="271">
        <f>IF(I88="","",'20. 11-12 Exc &amp; Adj'!B69)</f>
        <v>0</v>
      </c>
      <c r="K88" s="284"/>
      <c r="M88" s="391" t="str">
        <f>IF(O$6="Met","",IF(OR(N$4="2017-2018",N$4="2016-2017",N$4="2015-2016",N$4="2014-2015",N$4="2013-2014",N$4="2012-2013",N$4="2011-2012"),"","2011-12 Adjustment"))</f>
        <v>2011-12 Adjustment</v>
      </c>
      <c r="N88" s="271">
        <f>IF(M88="","",'20. 11-12 Exc &amp; Adj'!B69)</f>
        <v>0</v>
      </c>
      <c r="O88" s="284"/>
    </row>
    <row r="89" spans="1:16" ht="16.5" thickBot="1" x14ac:dyDescent="0.3">
      <c r="A89" s="274" t="s">
        <v>78</v>
      </c>
      <c r="B89" s="318">
        <f>SUM(B80:B87)</f>
        <v>0</v>
      </c>
      <c r="C89" s="285"/>
      <c r="E89" s="274" t="s">
        <v>78</v>
      </c>
      <c r="F89" s="318">
        <f>SUM(F80:F87)</f>
        <v>0</v>
      </c>
      <c r="G89" s="285"/>
      <c r="I89" s="488" t="s">
        <v>219</v>
      </c>
      <c r="J89" s="489"/>
      <c r="K89" s="284"/>
      <c r="M89" s="488" t="s">
        <v>219</v>
      </c>
      <c r="N89" s="489"/>
      <c r="O89" s="284"/>
    </row>
    <row r="90" spans="1:16" x14ac:dyDescent="0.25">
      <c r="I90" s="277" t="s">
        <v>102</v>
      </c>
      <c r="J90" s="101">
        <f>SUM(J81:J88)</f>
        <v>0</v>
      </c>
      <c r="K90" s="284"/>
      <c r="M90" s="277" t="s">
        <v>102</v>
      </c>
      <c r="N90" s="101">
        <f>SUM(N81:N88)</f>
        <v>0</v>
      </c>
      <c r="O90" s="284"/>
    </row>
    <row r="91" spans="1:16" ht="16.5" thickBot="1" x14ac:dyDescent="0.3">
      <c r="A91" s="428" t="s">
        <v>258</v>
      </c>
      <c r="I91" s="274" t="s">
        <v>103</v>
      </c>
      <c r="J91" s="275" t="str">
        <f>IF(J93=0,"",J90/J93)</f>
        <v/>
      </c>
      <c r="K91" s="285"/>
      <c r="M91" s="274" t="s">
        <v>103</v>
      </c>
      <c r="N91" s="275" t="str">
        <f>IF(N93=0,"",N90/N93)</f>
        <v/>
      </c>
      <c r="O91" s="285"/>
    </row>
    <row r="92" spans="1:16" x14ac:dyDescent="0.25">
      <c r="A92" s="427" t="s">
        <v>252</v>
      </c>
      <c r="I92" s="496" t="s">
        <v>219</v>
      </c>
      <c r="J92" s="496"/>
      <c r="K92" s="496"/>
      <c r="M92" s="496" t="s">
        <v>219</v>
      </c>
      <c r="N92" s="496"/>
      <c r="O92" s="496"/>
    </row>
    <row r="93" spans="1:16" x14ac:dyDescent="0.25">
      <c r="I93" s="286" t="s">
        <v>99</v>
      </c>
      <c r="J93" s="479">
        <f>LOOKUP(J4,'4. Multi-Year MOE Summary'!$A$3:$A$12,'4. Multi-Year MOE Summary'!$C$3:$C$12)</f>
        <v>0</v>
      </c>
      <c r="M93" s="286" t="s">
        <v>99</v>
      </c>
      <c r="N93" s="479">
        <f>LOOKUP(N4,'4. Multi-Year MOE Summary'!$A$3:$A$12,'4. Multi-Year MOE Summary'!$C$3:$C$12)</f>
        <v>0</v>
      </c>
    </row>
    <row r="94" spans="1:16" x14ac:dyDescent="0.25">
      <c r="A94" s="497" t="s">
        <v>221</v>
      </c>
      <c r="B94" s="497"/>
      <c r="C94" s="497"/>
      <c r="D94" s="497"/>
      <c r="E94" s="497"/>
      <c r="F94" s="497"/>
      <c r="G94" s="497"/>
      <c r="H94" s="497"/>
      <c r="I94" s="497"/>
      <c r="J94" s="497"/>
      <c r="K94" s="497"/>
      <c r="L94" s="497"/>
      <c r="M94" s="497"/>
      <c r="N94" s="497"/>
    </row>
  </sheetData>
  <sheetProtection algorithmName="SHA-512" hashValue="d68E+bHo+nUGSHKutdGVbdoYqvH1sqJPXFuuqejtieveAIQ9jqJ//YPV0Z+gBGnULenGzgXui2Yp8IVClCmRoQ==" saltValue="CcFjQ/dQdkmC5iHpVpydTQ==" spinCount="100000" sheet="1" objects="1" scenarios="1"/>
  <mergeCells count="35">
    <mergeCell ref="A94:N94"/>
    <mergeCell ref="M75:N75"/>
    <mergeCell ref="M63:N63"/>
    <mergeCell ref="M51:N51"/>
    <mergeCell ref="M36:N36"/>
    <mergeCell ref="A77:C77"/>
    <mergeCell ref="A88:B88"/>
    <mergeCell ref="E75:F75"/>
    <mergeCell ref="E77:G77"/>
    <mergeCell ref="E88:F88"/>
    <mergeCell ref="A75:B75"/>
    <mergeCell ref="M25:N25"/>
    <mergeCell ref="M12:O12"/>
    <mergeCell ref="I78:K78"/>
    <mergeCell ref="I89:J89"/>
    <mergeCell ref="I92:K92"/>
    <mergeCell ref="M92:O92"/>
    <mergeCell ref="M89:N89"/>
    <mergeCell ref="M78:O78"/>
    <mergeCell ref="I12:K12"/>
    <mergeCell ref="I25:J25"/>
    <mergeCell ref="I36:J36"/>
    <mergeCell ref="I51:J51"/>
    <mergeCell ref="I63:J63"/>
    <mergeCell ref="I75:J75"/>
    <mergeCell ref="E12:G12"/>
    <mergeCell ref="E25:F25"/>
    <mergeCell ref="E36:F36"/>
    <mergeCell ref="E51:F51"/>
    <mergeCell ref="E63:F63"/>
    <mergeCell ref="A12:C12"/>
    <mergeCell ref="A25:B25"/>
    <mergeCell ref="A36:B36"/>
    <mergeCell ref="A51:B51"/>
    <mergeCell ref="A63:B63"/>
  </mergeCells>
  <conditionalFormatting sqref="A80:B87">
    <cfRule type="containsBlanks" dxfId="1096" priority="442">
      <formula>LEN(TRIM(A80))=0</formula>
    </cfRule>
  </conditionalFormatting>
  <conditionalFormatting sqref="E80:F87">
    <cfRule type="containsBlanks" dxfId="1095" priority="421">
      <formula>LEN(TRIM(E80))=0</formula>
    </cfRule>
  </conditionalFormatting>
  <conditionalFormatting sqref="I17:J24">
    <cfRule type="containsBlanks" dxfId="1094" priority="397">
      <formula>LEN(TRIM(I17))=0</formula>
    </cfRule>
  </conditionalFormatting>
  <conditionalFormatting sqref="I81:J88">
    <cfRule type="containsBlanks" dxfId="1093" priority="386">
      <formula>LEN(TRIM(I81))=0</formula>
    </cfRule>
  </conditionalFormatting>
  <conditionalFormatting sqref="M43:N50">
    <cfRule type="containsBlanks" dxfId="1092" priority="369">
      <formula>LEN(TRIM(M43))=0</formula>
    </cfRule>
  </conditionalFormatting>
  <conditionalFormatting sqref="M17:N24">
    <cfRule type="containsBlanks" dxfId="1091" priority="373">
      <formula>LEN(TRIM(M17))=0</formula>
    </cfRule>
  </conditionalFormatting>
  <conditionalFormatting sqref="M28:N35">
    <cfRule type="containsBlanks" dxfId="1090" priority="371">
      <formula>LEN(TRIM(M28))=0</formula>
    </cfRule>
  </conditionalFormatting>
  <conditionalFormatting sqref="M55:N62">
    <cfRule type="containsBlanks" dxfId="1089" priority="367">
      <formula>LEN(TRIM(M55))=0</formula>
    </cfRule>
  </conditionalFormatting>
  <conditionalFormatting sqref="M81:N88">
    <cfRule type="containsBlanks" dxfId="1088" priority="363">
      <formula>LEN(TRIM(M81))=0</formula>
    </cfRule>
  </conditionalFormatting>
  <conditionalFormatting sqref="A67:B74">
    <cfRule type="containsBlanks" dxfId="1087" priority="341">
      <formula>LEN(TRIM(A67))=0</formula>
    </cfRule>
  </conditionalFormatting>
  <conditionalFormatting sqref="I67:J74">
    <cfRule type="containsBlanks" dxfId="1086" priority="240">
      <formula>LEN(TRIM(I67))=0</formula>
    </cfRule>
  </conditionalFormatting>
  <conditionalFormatting sqref="M67:N74">
    <cfRule type="containsBlanks" dxfId="1085" priority="215">
      <formula>LEN(TRIM(M67))=0</formula>
    </cfRule>
  </conditionalFormatting>
  <conditionalFormatting sqref="E28:F35">
    <cfRule type="containsBlanks" dxfId="1084" priority="152">
      <formula>LEN(TRIM(E28))=0</formula>
    </cfRule>
  </conditionalFormatting>
  <conditionalFormatting sqref="A28:B35">
    <cfRule type="containsBlanks" dxfId="1083" priority="150">
      <formula>LEN(TRIM(A28))=0</formula>
    </cfRule>
  </conditionalFormatting>
  <conditionalFormatting sqref="A43:B50">
    <cfRule type="containsBlanks" dxfId="1082" priority="126">
      <formula>LEN(TRIM(A43))=0</formula>
    </cfRule>
  </conditionalFormatting>
  <conditionalFormatting sqref="E43:F50">
    <cfRule type="containsBlanks" dxfId="1081" priority="121">
      <formula>LEN(TRIM(E43))=0</formula>
    </cfRule>
  </conditionalFormatting>
  <conditionalFormatting sqref="I28:J35">
    <cfRule type="containsBlanks" dxfId="1080" priority="116">
      <formula>LEN(TRIM(I28))=0</formula>
    </cfRule>
  </conditionalFormatting>
  <conditionalFormatting sqref="I43:J50">
    <cfRule type="containsBlanks" dxfId="1079" priority="111">
      <formula>LEN(TRIM(I43))=0</formula>
    </cfRule>
  </conditionalFormatting>
  <conditionalFormatting sqref="A55:B62">
    <cfRule type="containsBlanks" dxfId="1078" priority="78">
      <formula>LEN(TRIM(A55))=0</formula>
    </cfRule>
  </conditionalFormatting>
  <conditionalFormatting sqref="E55:F62">
    <cfRule type="containsBlanks" dxfId="1077" priority="73">
      <formula>LEN(TRIM(E55))=0</formula>
    </cfRule>
  </conditionalFormatting>
  <conditionalFormatting sqref="I55:J62">
    <cfRule type="containsBlanks" dxfId="1076" priority="68">
      <formula>LEN(TRIM(I55))=0</formula>
    </cfRule>
  </conditionalFormatting>
  <conditionalFormatting sqref="A17:B24">
    <cfRule type="containsBlanks" dxfId="1075" priority="43">
      <formula>LEN(TRIM(A17))=0</formula>
    </cfRule>
  </conditionalFormatting>
  <conditionalFormatting sqref="E17:F24">
    <cfRule type="containsBlanks" dxfId="1074" priority="41">
      <formula>LEN(TRIM(E17))=0</formula>
    </cfRule>
  </conditionalFormatting>
  <conditionalFormatting sqref="E67:F74">
    <cfRule type="containsBlanks" dxfId="1073" priority="14">
      <formula>LEN(TRIM(E67))=0</formula>
    </cfRule>
  </conditionalFormatting>
  <conditionalFormatting sqref="C6 C9 C11">
    <cfRule type="containsText" dxfId="1072" priority="454" operator="containsText" text="Did Not Meet">
      <formula>NOT(ISERROR(SEARCH("Did Not Meet",C6)))</formula>
    </cfRule>
    <cfRule type="containsText" dxfId="1071" priority="455" operator="containsText" text="Met">
      <formula>NOT(ISERROR(SEARCH("Met",C6)))</formula>
    </cfRule>
  </conditionalFormatting>
  <conditionalFormatting sqref="G6 G9 G11">
    <cfRule type="containsText" dxfId="1070" priority="358" operator="containsText" text="Did Not Meet">
      <formula>NOT(ISERROR(SEARCH("Did Not Meet",G6)))</formula>
    </cfRule>
    <cfRule type="containsText" dxfId="1069" priority="359" operator="containsText" text="Met">
      <formula>NOT(ISERROR(SEARCH("Met",G6)))</formula>
    </cfRule>
  </conditionalFormatting>
  <conditionalFormatting sqref="K6 K9 K11">
    <cfRule type="containsText" dxfId="1068" priority="252" operator="containsText" text="Did Not Meet">
      <formula>NOT(ISERROR(SEARCH("Did Not Meet",K6)))</formula>
    </cfRule>
    <cfRule type="containsText" dxfId="1067" priority="253" operator="containsText" text="Met">
      <formula>NOT(ISERROR(SEARCH("Met",K6)))</formula>
    </cfRule>
  </conditionalFormatting>
  <conditionalFormatting sqref="O6 O9 O11">
    <cfRule type="containsText" dxfId="1066" priority="250" operator="containsText" text="Did Not Meet">
      <formula>NOT(ISERROR(SEARCH("Did Not Meet",O6)))</formula>
    </cfRule>
    <cfRule type="containsText" dxfId="1065" priority="251" operator="containsText" text="Met">
      <formula>NOT(ISERROR(SEARCH("Met",O6)))</formula>
    </cfRule>
  </conditionalFormatting>
  <hyperlinks>
    <hyperlink ref="A92" r:id="rId1" display="http://cifr.wested.org/resources/lea-moe/calculator/"/>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268" id="{BAECA715-4E9C-44C3-B5A3-D3EDF8D0060D}">
            <xm:f>'3. Getting Started'!$B$10="No"</xm:f>
            <x14:dxf>
              <fill>
                <patternFill>
                  <bgColor theme="1"/>
                </patternFill>
              </fill>
            </x14:dxf>
          </x14:cfRule>
          <xm:sqref>E73:F73</xm:sqref>
        </x14:conditionalFormatting>
        <x14:conditionalFormatting xmlns:xm="http://schemas.microsoft.com/office/excel/2006/main">
          <x14:cfRule type="expression" priority="245" id="{E700B540-84DF-495B-B931-F413A83A4FB4}">
            <xm:f>'3. Getting Started'!$B$14="No"</xm:f>
            <x14:dxf>
              <fill>
                <patternFill>
                  <bgColor theme="1"/>
                </patternFill>
              </fill>
            </x14:dxf>
          </x14:cfRule>
          <xm:sqref>A69:B69</xm:sqref>
        </x14:conditionalFormatting>
        <x14:conditionalFormatting xmlns:xm="http://schemas.microsoft.com/office/excel/2006/main">
          <x14:cfRule type="expression" priority="246" id="{F8B9C685-D8A6-4763-99E6-6F2EF8BE2331}">
            <xm:f>'3. Getting Started'!$B$13="No"</xm:f>
            <x14:dxf>
              <fill>
                <patternFill>
                  <bgColor theme="1"/>
                </patternFill>
              </fill>
            </x14:dxf>
          </x14:cfRule>
          <xm:sqref>A70:B70</xm:sqref>
        </x14:conditionalFormatting>
        <x14:conditionalFormatting xmlns:xm="http://schemas.microsoft.com/office/excel/2006/main">
          <x14:cfRule type="expression" priority="247" id="{32DBBB0F-48C8-4E3E-92CC-AB4388BE89CA}">
            <xm:f>'3. Getting Started'!$B$12="No"</xm:f>
            <x14:dxf>
              <fill>
                <patternFill>
                  <bgColor theme="1"/>
                </patternFill>
              </fill>
            </x14:dxf>
          </x14:cfRule>
          <xm:sqref>A71:B71</xm:sqref>
        </x14:conditionalFormatting>
        <x14:conditionalFormatting xmlns:xm="http://schemas.microsoft.com/office/excel/2006/main">
          <x14:cfRule type="expression" priority="248" id="{15C97D6A-9000-4C6F-9794-7E7A4EFAC223}">
            <xm:f>'3. Getting Started'!$B$11="No"</xm:f>
            <x14:dxf>
              <fill>
                <patternFill>
                  <bgColor theme="1"/>
                </patternFill>
              </fill>
            </x14:dxf>
          </x14:cfRule>
          <xm:sqref>A72:B72</xm:sqref>
        </x14:conditionalFormatting>
        <x14:conditionalFormatting xmlns:xm="http://schemas.microsoft.com/office/excel/2006/main">
          <x14:cfRule type="expression" priority="249" id="{4AC4DD9A-E1B6-42BC-8945-AE37494582F8}">
            <xm:f>'3. Getting Started'!$B$10="No"</xm:f>
            <x14:dxf>
              <fill>
                <patternFill>
                  <bgColor theme="1"/>
                </patternFill>
              </fill>
            </x14:dxf>
          </x14:cfRule>
          <xm:sqref>A73:B73</xm:sqref>
        </x14:conditionalFormatting>
        <x14:conditionalFormatting xmlns:xm="http://schemas.microsoft.com/office/excel/2006/main">
          <x14:cfRule type="expression" priority="244" id="{4F7F321D-9D75-4B9B-8D24-244498CD86EC}">
            <xm:f>'3. Getting Started'!$B$11="No"</xm:f>
            <x14:dxf>
              <fill>
                <patternFill>
                  <bgColor theme="1"/>
                </patternFill>
              </fill>
            </x14:dxf>
          </x14:cfRule>
          <xm:sqref>E72:F72</xm:sqref>
        </x14:conditionalFormatting>
        <x14:conditionalFormatting xmlns:xm="http://schemas.microsoft.com/office/excel/2006/main">
          <x14:cfRule type="expression" priority="243" id="{792444F3-55B2-4D84-9DB9-D0D76251A450}">
            <xm:f>'3. Getting Started'!$B$12="No"</xm:f>
            <x14:dxf>
              <fill>
                <patternFill>
                  <bgColor theme="1"/>
                </patternFill>
              </fill>
            </x14:dxf>
          </x14:cfRule>
          <xm:sqref>E71:F71</xm:sqref>
        </x14:conditionalFormatting>
        <x14:conditionalFormatting xmlns:xm="http://schemas.microsoft.com/office/excel/2006/main">
          <x14:cfRule type="expression" priority="242" id="{5A8A6CD0-C791-4449-B450-D7D933B42DCE}">
            <xm:f>'3. Getting Started'!$B$13="No"</xm:f>
            <x14:dxf>
              <fill>
                <patternFill>
                  <bgColor theme="1"/>
                </patternFill>
              </fill>
            </x14:dxf>
          </x14:cfRule>
          <xm:sqref>E70:F70</xm:sqref>
        </x14:conditionalFormatting>
        <x14:conditionalFormatting xmlns:xm="http://schemas.microsoft.com/office/excel/2006/main">
          <x14:cfRule type="expression" priority="241" id="{F1D96338-3274-401A-8211-B2FB7F1FC08A}">
            <xm:f>'3. Getting Started'!$B$14="No"</xm:f>
            <x14:dxf>
              <fill>
                <patternFill>
                  <bgColor theme="1"/>
                </patternFill>
              </fill>
            </x14:dxf>
          </x14:cfRule>
          <xm:sqref>E69:F69</xm:sqref>
        </x14:conditionalFormatting>
        <x14:conditionalFormatting xmlns:xm="http://schemas.microsoft.com/office/excel/2006/main">
          <x14:cfRule type="expression" priority="232" id="{763469BF-9158-47A5-8812-E467B0B7FA62}">
            <xm:f>'3. Getting Started'!$B$10="No"</xm:f>
            <x14:dxf>
              <fill>
                <patternFill>
                  <bgColor theme="1"/>
                </patternFill>
              </fill>
            </x14:dxf>
          </x14:cfRule>
          <xm:sqref>I73:J73</xm:sqref>
        </x14:conditionalFormatting>
        <x14:conditionalFormatting xmlns:xm="http://schemas.microsoft.com/office/excel/2006/main">
          <x14:cfRule type="expression" priority="229" id="{6BBD8292-8687-4621-9681-FB00C7B8B334}">
            <xm:f>'3. Getting Started'!$B$11="No"</xm:f>
            <x14:dxf>
              <fill>
                <patternFill>
                  <bgColor theme="1"/>
                </patternFill>
              </fill>
            </x14:dxf>
          </x14:cfRule>
          <xm:sqref>I72:J72</xm:sqref>
        </x14:conditionalFormatting>
        <x14:conditionalFormatting xmlns:xm="http://schemas.microsoft.com/office/excel/2006/main">
          <x14:cfRule type="expression" priority="228" id="{7BA66729-BE94-443E-A719-4676C3C2945A}">
            <xm:f>'3. Getting Started'!$B$12="No"</xm:f>
            <x14:dxf>
              <fill>
                <patternFill>
                  <bgColor theme="1"/>
                </patternFill>
              </fill>
            </x14:dxf>
          </x14:cfRule>
          <xm:sqref>I71:J71</xm:sqref>
        </x14:conditionalFormatting>
        <x14:conditionalFormatting xmlns:xm="http://schemas.microsoft.com/office/excel/2006/main">
          <x14:cfRule type="expression" priority="227" id="{5D6EEFC4-6043-4976-BD9D-05D77DF9DBCB}">
            <xm:f>'3. Getting Started'!$B$13="No"</xm:f>
            <x14:dxf>
              <fill>
                <patternFill>
                  <bgColor theme="1"/>
                </patternFill>
              </fill>
            </x14:dxf>
          </x14:cfRule>
          <xm:sqref>I70:J70</xm:sqref>
        </x14:conditionalFormatting>
        <x14:conditionalFormatting xmlns:xm="http://schemas.microsoft.com/office/excel/2006/main">
          <x14:cfRule type="expression" priority="226" id="{A16C1C5D-6FDE-4C5D-8862-BB54F4A14305}">
            <xm:f>'3. Getting Started'!$B$14="No"</xm:f>
            <x14:dxf>
              <fill>
                <patternFill>
                  <bgColor theme="1"/>
                </patternFill>
              </fill>
            </x14:dxf>
          </x14:cfRule>
          <xm:sqref>I69:J69</xm:sqref>
        </x14:conditionalFormatting>
        <x14:conditionalFormatting xmlns:xm="http://schemas.microsoft.com/office/excel/2006/main">
          <x14:cfRule type="expression" priority="207" id="{2A1329F3-2363-4862-B7F1-58537D79FA5B}">
            <xm:f>'3. Getting Started'!$B$10="No"</xm:f>
            <x14:dxf>
              <fill>
                <patternFill>
                  <bgColor theme="1"/>
                </patternFill>
              </fill>
            </x14:dxf>
          </x14:cfRule>
          <xm:sqref>M73:N73</xm:sqref>
        </x14:conditionalFormatting>
        <x14:conditionalFormatting xmlns:xm="http://schemas.microsoft.com/office/excel/2006/main">
          <x14:cfRule type="expression" priority="204" id="{E5A953EC-F031-4374-8DB7-A804DBF34BB3}">
            <xm:f>'3. Getting Started'!$B$11="No"</xm:f>
            <x14:dxf>
              <fill>
                <patternFill>
                  <bgColor theme="1"/>
                </patternFill>
              </fill>
            </x14:dxf>
          </x14:cfRule>
          <xm:sqref>M72:N72</xm:sqref>
        </x14:conditionalFormatting>
        <x14:conditionalFormatting xmlns:xm="http://schemas.microsoft.com/office/excel/2006/main">
          <x14:cfRule type="expression" priority="203" id="{0B3F36DB-C0D3-411D-B931-9FC5CC8C9BE2}">
            <xm:f>'3. Getting Started'!$B$12="No"</xm:f>
            <x14:dxf>
              <fill>
                <patternFill>
                  <bgColor theme="1"/>
                </patternFill>
              </fill>
            </x14:dxf>
          </x14:cfRule>
          <xm:sqref>M71:N71</xm:sqref>
        </x14:conditionalFormatting>
        <x14:conditionalFormatting xmlns:xm="http://schemas.microsoft.com/office/excel/2006/main">
          <x14:cfRule type="expression" priority="202" id="{C310269D-0B77-4E04-91EC-955DB9AA5847}">
            <xm:f>'3. Getting Started'!$B$13="No"</xm:f>
            <x14:dxf>
              <fill>
                <patternFill>
                  <bgColor theme="1"/>
                </patternFill>
              </fill>
            </x14:dxf>
          </x14:cfRule>
          <xm:sqref>M70:N70</xm:sqref>
        </x14:conditionalFormatting>
        <x14:conditionalFormatting xmlns:xm="http://schemas.microsoft.com/office/excel/2006/main">
          <x14:cfRule type="expression" priority="201" id="{0CB09C26-C9A8-4C1F-9E1B-652C3415BE38}">
            <xm:f>'3. Getting Started'!$B$14="No"</xm:f>
            <x14:dxf>
              <fill>
                <patternFill>
                  <bgColor theme="1"/>
                </patternFill>
              </fill>
            </x14:dxf>
          </x14:cfRule>
          <xm:sqref>M69:N69</xm:sqref>
        </x14:conditionalFormatting>
        <x14:conditionalFormatting xmlns:xm="http://schemas.microsoft.com/office/excel/2006/main">
          <x14:cfRule type="expression" priority="51" id="{23D03764-419B-496E-B6DF-CF77AEE4BA4B}">
            <xm:f>'3. Getting Started'!$B$15="No"</xm:f>
            <x14:dxf>
              <fill>
                <patternFill>
                  <bgColor theme="1"/>
                </patternFill>
              </fill>
            </x14:dxf>
          </x14:cfRule>
          <xm:sqref>A68:B68</xm:sqref>
        </x14:conditionalFormatting>
        <x14:conditionalFormatting xmlns:xm="http://schemas.microsoft.com/office/excel/2006/main">
          <x14:cfRule type="expression" priority="50" id="{974F4BA2-C2AF-4938-A9DD-DDF7B540FD19}">
            <xm:f>'3. Getting Started'!$B$15="No"</xm:f>
            <x14:dxf>
              <fill>
                <patternFill>
                  <bgColor theme="1"/>
                </patternFill>
              </fill>
            </x14:dxf>
          </x14:cfRule>
          <xm:sqref>E68:F68</xm:sqref>
        </x14:conditionalFormatting>
        <x14:conditionalFormatting xmlns:xm="http://schemas.microsoft.com/office/excel/2006/main">
          <x14:cfRule type="expression" priority="49" id="{46470D7F-997E-4C9B-9050-4FF45A7A45A0}">
            <xm:f>'3. Getting Started'!$B$15="No"</xm:f>
            <x14:dxf>
              <fill>
                <patternFill>
                  <bgColor theme="1"/>
                </patternFill>
              </fill>
            </x14:dxf>
          </x14:cfRule>
          <xm:sqref>I68:J68</xm:sqref>
        </x14:conditionalFormatting>
        <x14:conditionalFormatting xmlns:xm="http://schemas.microsoft.com/office/excel/2006/main">
          <x14:cfRule type="expression" priority="48" id="{8513BA13-B825-4660-929B-47830EE56F7B}">
            <xm:f>'3. Getting Started'!$B$15="No"</xm:f>
            <x14:dxf>
              <fill>
                <patternFill>
                  <bgColor theme="1"/>
                </patternFill>
              </fill>
            </x14:dxf>
          </x14:cfRule>
          <xm:sqref>M68:N68</xm:sqref>
        </x14:conditionalFormatting>
        <x14:conditionalFormatting xmlns:xm="http://schemas.microsoft.com/office/excel/2006/main">
          <x14:cfRule type="expression" priority="15" id="{F62E3939-D8DB-4882-A96D-33C3BBEE60F3}">
            <xm:f>'3. Getting Started'!$B$16="No"</xm:f>
            <x14:dxf>
              <fill>
                <patternFill>
                  <bgColor theme="1"/>
                </patternFill>
              </fill>
            </x14:dxf>
          </x14:cfRule>
          <xm:sqref>A67:B67</xm:sqref>
        </x14:conditionalFormatting>
        <x14:conditionalFormatting xmlns:xm="http://schemas.microsoft.com/office/excel/2006/main">
          <x14:cfRule type="expression" priority="16" id="{8C419078-0C37-425F-8B55-E3F4E2DEE211}">
            <xm:f>'3. Getting Started'!$B$16="No"</xm:f>
            <x14:dxf>
              <fill>
                <patternFill>
                  <bgColor theme="1"/>
                </patternFill>
              </fill>
            </x14:dxf>
          </x14:cfRule>
          <xm:sqref>E67:F67</xm:sqref>
        </x14:conditionalFormatting>
        <x14:conditionalFormatting xmlns:xm="http://schemas.microsoft.com/office/excel/2006/main">
          <x14:cfRule type="expression" priority="13" id="{A9798FEE-ECEA-405A-B16C-6C3D70E073E9}">
            <xm:f>'3. Getting Started'!$B$16="No"</xm:f>
            <x14:dxf>
              <fill>
                <patternFill>
                  <bgColor theme="1"/>
                </patternFill>
              </fill>
            </x14:dxf>
          </x14:cfRule>
          <xm:sqref>I67:J67</xm:sqref>
        </x14:conditionalFormatting>
        <x14:conditionalFormatting xmlns:xm="http://schemas.microsoft.com/office/excel/2006/main">
          <x14:cfRule type="expression" priority="12" id="{6E895FC6-1904-4929-B8E4-A6EDD5205F61}">
            <xm:f>'3. Getting Started'!$B$16="No"</xm:f>
            <x14:dxf>
              <fill>
                <patternFill>
                  <bgColor theme="1"/>
                </patternFill>
              </fill>
            </x14:dxf>
          </x14:cfRule>
          <xm:sqref>M67:N67</xm:sqref>
        </x14:conditionalFormatting>
        <x14:conditionalFormatting xmlns:xm="http://schemas.microsoft.com/office/excel/2006/main">
          <x14:cfRule type="expression" priority="7" id="{A8F7F589-C3CB-4E24-9D3A-5845F277D138}">
            <xm:f>'3. Getting Started'!$B$9="No"</xm:f>
            <x14:dxf>
              <fill>
                <patternFill>
                  <bgColor theme="1"/>
                </patternFill>
              </fill>
            </x14:dxf>
          </x14:cfRule>
          <xm:sqref>A74:B74</xm:sqref>
        </x14:conditionalFormatting>
        <x14:conditionalFormatting xmlns:xm="http://schemas.microsoft.com/office/excel/2006/main">
          <x14:cfRule type="expression" priority="5" id="{826DDC82-CD00-466F-BEDC-C5F0CFA3C3D1}">
            <xm:f>'3. Getting Started'!$B$6="No"</xm:f>
            <x14:dxf>
              <font>
                <color theme="1"/>
              </font>
              <fill>
                <patternFill>
                  <bgColor theme="1"/>
                </patternFill>
              </fill>
            </x14:dxf>
          </x14:cfRule>
          <xm:sqref>A3:C89</xm:sqref>
        </x14:conditionalFormatting>
        <x14:conditionalFormatting xmlns:xm="http://schemas.microsoft.com/office/excel/2006/main">
          <x14:cfRule type="expression" priority="4" id="{D39A8587-5ED9-4372-9216-651CF4AB70C6}">
            <xm:f>'3. Getting Started'!$B$9="No"</xm:f>
            <x14:dxf>
              <fill>
                <patternFill>
                  <bgColor theme="1"/>
                </patternFill>
              </fill>
            </x14:dxf>
          </x14:cfRule>
          <xm:sqref>E74:F74</xm:sqref>
        </x14:conditionalFormatting>
        <x14:conditionalFormatting xmlns:xm="http://schemas.microsoft.com/office/excel/2006/main">
          <x14:cfRule type="expression" priority="3" id="{F5B3735C-20C7-4B28-8649-9CA2B56C1A86}">
            <xm:f>'3. Getting Started'!$B$9="No"</xm:f>
            <x14:dxf>
              <fill>
                <patternFill>
                  <bgColor theme="1"/>
                </patternFill>
              </fill>
            </x14:dxf>
          </x14:cfRule>
          <xm:sqref>I74:J74</xm:sqref>
        </x14:conditionalFormatting>
        <x14:conditionalFormatting xmlns:xm="http://schemas.microsoft.com/office/excel/2006/main">
          <x14:cfRule type="expression" priority="2" id="{502F6432-FDDC-4B43-9F0D-14B087FFF59A}">
            <xm:f>'3. Getting Started'!$B$6="No"</xm:f>
            <x14:dxf>
              <font>
                <color theme="1"/>
              </font>
              <fill>
                <patternFill>
                  <bgColor theme="1"/>
                </patternFill>
              </fill>
            </x14:dxf>
          </x14:cfRule>
          <xm:sqref>I3:K93</xm:sqref>
        </x14:conditionalFormatting>
        <x14:conditionalFormatting xmlns:xm="http://schemas.microsoft.com/office/excel/2006/main">
          <x14:cfRule type="expression" priority="1" id="{881978BA-75B1-4C0E-8BC2-BE5434F52BED}">
            <xm:f>'3. Getting Started'!$B$9="No"</xm:f>
            <x14:dxf>
              <fill>
                <patternFill>
                  <bgColor theme="1"/>
                </patternFill>
              </fill>
            </x14:dxf>
          </x14:cfRule>
          <xm:sqref>M74:N74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4" t="s">
        <v>254</v>
      </c>
      <c r="E1" s="475" t="str">
        <f>IF('3. Getting Started'!$B2="","",'3. Getting Started'!$B2)</f>
        <v/>
      </c>
      <c r="G1" s="42"/>
      <c r="I1" s="47"/>
      <c r="J1" s="47"/>
      <c r="K1" s="474" t="s">
        <v>254</v>
      </c>
      <c r="L1" s="475" t="str">
        <f>IF('3. Getting Started'!$B2="","",'3. Getting Started'!$B2)</f>
        <v/>
      </c>
      <c r="M1" s="47"/>
      <c r="N1" s="44"/>
      <c r="O1" s="44"/>
      <c r="P1" s="44"/>
      <c r="Q1" s="44"/>
      <c r="R1" s="44"/>
      <c r="S1" s="44"/>
      <c r="T1" s="44"/>
    </row>
    <row r="2" spans="1:20" ht="25.9" customHeight="1" thickBot="1" x14ac:dyDescent="0.3">
      <c r="A2" s="346" t="s">
        <v>240</v>
      </c>
      <c r="B2" s="207"/>
      <c r="C2" s="207"/>
      <c r="D2" s="207"/>
      <c r="E2" s="207"/>
      <c r="F2" s="208"/>
      <c r="G2" s="81"/>
      <c r="H2" s="346" t="s">
        <v>248</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69">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6"/>
      <c r="D15" s="21"/>
      <c r="E15" s="21"/>
      <c r="F15" s="63">
        <f>D15+E15</f>
        <v>0</v>
      </c>
      <c r="G15" s="153"/>
      <c r="H15" s="24"/>
      <c r="I15" s="39"/>
      <c r="J15" s="466"/>
      <c r="K15" s="21"/>
      <c r="L15" s="21"/>
      <c r="M15" s="63">
        <f>K15+L15</f>
        <v>0</v>
      </c>
    </row>
    <row r="16" spans="1:20" x14ac:dyDescent="0.25">
      <c r="A16" s="24"/>
      <c r="B16" s="39"/>
      <c r="C16" s="466"/>
      <c r="D16" s="21"/>
      <c r="E16" s="21"/>
      <c r="F16" s="63">
        <f>D16+E16</f>
        <v>0</v>
      </c>
      <c r="G16" s="153"/>
      <c r="H16" s="24"/>
      <c r="I16" s="39"/>
      <c r="J16" s="466"/>
      <c r="K16" s="21"/>
      <c r="L16" s="21"/>
      <c r="M16" s="63">
        <f>K16+L16</f>
        <v>0</v>
      </c>
    </row>
    <row r="17" spans="1:18" x14ac:dyDescent="0.25">
      <c r="A17" s="24"/>
      <c r="B17" s="39"/>
      <c r="C17" s="466"/>
      <c r="D17" s="21"/>
      <c r="E17" s="21"/>
      <c r="F17" s="63">
        <f>D17+E17</f>
        <v>0</v>
      </c>
      <c r="G17" s="153"/>
      <c r="H17" s="24"/>
      <c r="I17" s="39"/>
      <c r="J17" s="466"/>
      <c r="K17" s="21"/>
      <c r="L17" s="21"/>
      <c r="M17" s="63">
        <f>K17+L17</f>
        <v>0</v>
      </c>
    </row>
    <row r="18" spans="1:18" x14ac:dyDescent="0.25">
      <c r="A18" s="24"/>
      <c r="B18" s="39"/>
      <c r="C18" s="466"/>
      <c r="D18" s="21"/>
      <c r="E18" s="21"/>
      <c r="F18" s="63">
        <f>D18+E18</f>
        <v>0</v>
      </c>
      <c r="G18" s="153"/>
      <c r="H18" s="24"/>
      <c r="I18" s="39"/>
      <c r="J18" s="466"/>
      <c r="K18" s="21"/>
      <c r="L18" s="21"/>
      <c r="M18" s="63">
        <f>K18+L18</f>
        <v>0</v>
      </c>
    </row>
    <row r="19" spans="1:18" x14ac:dyDescent="0.25">
      <c r="A19" s="24"/>
      <c r="B19" s="39"/>
      <c r="C19" s="466"/>
      <c r="D19" s="21"/>
      <c r="E19" s="21"/>
      <c r="F19" s="63">
        <f>D19+E19</f>
        <v>0</v>
      </c>
      <c r="G19" s="153"/>
      <c r="H19" s="24"/>
      <c r="I19" s="39"/>
      <c r="J19" s="466"/>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499" t="s">
        <v>219</v>
      </c>
      <c r="B22" s="499"/>
      <c r="C22" s="499"/>
      <c r="D22" s="499"/>
      <c r="E22" s="499"/>
      <c r="F22" s="499"/>
      <c r="G22" s="78"/>
      <c r="H22" s="499" t="s">
        <v>219</v>
      </c>
      <c r="I22" s="499"/>
      <c r="J22" s="499"/>
      <c r="K22" s="499"/>
      <c r="L22" s="499"/>
      <c r="M22" s="499"/>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0" t="s">
        <v>219</v>
      </c>
      <c r="B26" s="500"/>
      <c r="C26" s="500"/>
      <c r="D26" s="500"/>
      <c r="E26" s="500"/>
      <c r="F26" s="199" t="s">
        <v>107</v>
      </c>
      <c r="G26" s="78"/>
      <c r="H26" s="500" t="s">
        <v>219</v>
      </c>
      <c r="I26" s="500"/>
      <c r="J26" s="500"/>
      <c r="K26" s="500"/>
      <c r="L26" s="500"/>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160</v>
      </c>
      <c r="B29" s="402" t="str">
        <f>IF('14. 18-19 Amounts'!B1="","",'14. 18-19 Amounts'!B1)</f>
        <v/>
      </c>
      <c r="C29" s="86"/>
      <c r="D29" s="196"/>
      <c r="E29" s="86"/>
      <c r="F29" s="86"/>
      <c r="H29" s="88" t="s">
        <v>163</v>
      </c>
      <c r="I29" s="402" t="str">
        <f>IF('14. 18-19 Amounts'!I1="","",'14. 18-19 Amounts'!I1)</f>
        <v/>
      </c>
      <c r="J29" s="86"/>
      <c r="K29" s="196"/>
      <c r="L29" s="86"/>
      <c r="M29" s="86"/>
      <c r="N29" s="87"/>
      <c r="O29" s="87"/>
      <c r="P29" s="83"/>
    </row>
    <row r="30" spans="1:18" x14ac:dyDescent="0.25">
      <c r="A30" s="89" t="s">
        <v>161</v>
      </c>
      <c r="B30" s="402" t="str">
        <f>IF('11. 17-18 Amounts'!B1="","",'11. 17-18 Amounts'!B1)</f>
        <v/>
      </c>
      <c r="C30" s="87"/>
      <c r="D30" s="197"/>
      <c r="E30" s="87"/>
      <c r="F30" s="86"/>
      <c r="G30" s="86"/>
      <c r="H30" s="89" t="s">
        <v>161</v>
      </c>
      <c r="I30" s="402" t="str">
        <f>IF('4. Multi-Year MOE Summary'!$C$10="","",'4. Multi-Year MOE Summary'!$C$10)</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162</v>
      </c>
      <c r="B34" s="100" t="str">
        <f>IF(B31&gt;=0,"",IF('3. Getting Started'!$B$7="No","",'11. 17-18 Amounts'!D30))</f>
        <v/>
      </c>
      <c r="C34" s="100" t="str">
        <f>IF(B31&gt;=0,"",IF('3. Getting Started'!$B$7="No","",'11. 17-18 Amounts'!F30))</f>
        <v/>
      </c>
      <c r="D34" s="101"/>
      <c r="E34" s="55"/>
      <c r="F34" s="55"/>
      <c r="G34" s="52"/>
      <c r="H34" s="188" t="s">
        <v>164</v>
      </c>
      <c r="I34" s="100" t="str">
        <f>IF(I31&gt;=0,"",IF('3. Getting Started'!$B$7="No","",'4. Multi-Year MOE Summary'!$D$10))</f>
        <v/>
      </c>
      <c r="J34" s="100" t="str">
        <f>IF(I31&gt;=0,"",IF('3. Getting Started'!$B$7="No","",'4. Multi-Year MOE Summary'!$F$10))</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8" t="s">
        <v>219</v>
      </c>
      <c r="B36" s="498"/>
      <c r="C36" s="498"/>
      <c r="D36" s="86"/>
      <c r="E36" s="86"/>
      <c r="F36" s="86"/>
      <c r="G36" s="103"/>
      <c r="H36" s="498" t="s">
        <v>219</v>
      </c>
      <c r="I36" s="498"/>
      <c r="J36" s="498"/>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310"/>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310"/>
      <c r="O39" s="310"/>
      <c r="P39" s="310"/>
      <c r="Q39" s="310"/>
      <c r="R39" s="310"/>
      <c r="S39" s="310"/>
      <c r="T39" s="310"/>
      <c r="U39" s="310"/>
      <c r="V39" s="310"/>
      <c r="W39" s="310"/>
      <c r="X39" s="310"/>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310"/>
      <c r="O46" s="310"/>
      <c r="P46" s="310"/>
      <c r="Q46" s="310"/>
      <c r="R46" s="310"/>
      <c r="S46" s="310"/>
      <c r="T46" s="310"/>
      <c r="U46" s="310"/>
      <c r="V46" s="310"/>
      <c r="W46" s="310"/>
      <c r="X46" s="310"/>
      <c r="Y46" s="109"/>
      <c r="Z46" s="109"/>
    </row>
    <row r="47" spans="1:29" ht="16.5" thickBot="1" x14ac:dyDescent="0.3">
      <c r="A47" s="496" t="s">
        <v>219</v>
      </c>
      <c r="B47" s="496"/>
      <c r="C47" s="496"/>
      <c r="D47" s="52"/>
      <c r="E47" s="52"/>
      <c r="F47" s="52"/>
      <c r="G47" s="103"/>
      <c r="H47" s="496" t="s">
        <v>219</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186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8" t="s">
        <v>219</v>
      </c>
      <c r="B57" s="498"/>
      <c r="D57" s="52"/>
      <c r="E57" s="52"/>
      <c r="F57" s="52"/>
      <c r="G57" s="103"/>
      <c r="H57" s="498" t="s">
        <v>219</v>
      </c>
      <c r="I57" s="498"/>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1" t="s">
        <v>219</v>
      </c>
      <c r="B67" s="491"/>
      <c r="H67" s="491" t="s">
        <v>219</v>
      </c>
      <c r="I67" s="491"/>
    </row>
    <row r="68" spans="1:13" ht="30" customHeight="1" x14ac:dyDescent="0.25">
      <c r="A68" s="177" t="s">
        <v>88</v>
      </c>
      <c r="B68" s="178"/>
      <c r="C68" s="355"/>
      <c r="D68" s="181"/>
      <c r="H68" s="177" t="s">
        <v>88</v>
      </c>
      <c r="I68" s="178"/>
      <c r="J68" s="355"/>
      <c r="K68" s="181"/>
    </row>
    <row r="69" spans="1:13" x14ac:dyDescent="0.25">
      <c r="A69" s="179" t="s">
        <v>63</v>
      </c>
      <c r="B69" s="184" t="s">
        <v>180</v>
      </c>
      <c r="C69" s="420" t="s">
        <v>224</v>
      </c>
      <c r="H69" s="179" t="s">
        <v>63</v>
      </c>
      <c r="I69" s="184" t="s">
        <v>97</v>
      </c>
      <c r="J69" s="420" t="s">
        <v>224</v>
      </c>
    </row>
    <row r="70" spans="1:13" x14ac:dyDescent="0.25">
      <c r="A70" s="336" t="s">
        <v>184</v>
      </c>
      <c r="B70" s="352">
        <v>0</v>
      </c>
      <c r="C70" s="477" t="s">
        <v>225</v>
      </c>
      <c r="H70" s="336" t="s">
        <v>71</v>
      </c>
      <c r="I70" s="352">
        <v>0</v>
      </c>
      <c r="J70" s="477" t="s">
        <v>225</v>
      </c>
    </row>
    <row r="71" spans="1:13" ht="30" customHeight="1" x14ac:dyDescent="0.25">
      <c r="A71" s="428" t="s">
        <v>258</v>
      </c>
      <c r="B71" s="453"/>
      <c r="C71" s="421"/>
      <c r="H71" s="437"/>
      <c r="I71" s="438"/>
      <c r="J71" s="421"/>
    </row>
    <row r="72" spans="1:13" x14ac:dyDescent="0.25">
      <c r="A72" s="427" t="s">
        <v>252</v>
      </c>
      <c r="B72" s="453"/>
      <c r="C72" s="421"/>
      <c r="H72" s="437"/>
      <c r="I72" s="438"/>
      <c r="J72" s="421"/>
    </row>
    <row r="73" spans="1:13" x14ac:dyDescent="0.25">
      <c r="A73" s="497" t="s">
        <v>221</v>
      </c>
      <c r="B73" s="497"/>
      <c r="C73" s="497"/>
      <c r="D73" s="497"/>
      <c r="E73" s="497"/>
      <c r="F73" s="497"/>
      <c r="G73" s="497"/>
      <c r="H73" s="497"/>
      <c r="I73" s="497"/>
      <c r="J73" s="497"/>
      <c r="K73" s="497"/>
      <c r="L73" s="497"/>
      <c r="M73" s="497"/>
    </row>
  </sheetData>
  <sheetProtection algorithmName="SHA-512" hashValue="30bPh/YRiaM092V5pV0C5JObptWgEIQIOaVitrNMXyc6qK8+YCuebPBjmMau/s+KafDWxXXR91tUqKITQIJAWA==" saltValue="bEucRISRzcdOF9eAncbziw==" spinCount="100000" sheet="1" objects="1" scenarios="1" insertRows="0"/>
  <mergeCells count="27">
    <mergeCell ref="H26:L26"/>
    <mergeCell ref="H22:M22"/>
    <mergeCell ref="A73:M73"/>
    <mergeCell ref="A67:B67"/>
    <mergeCell ref="H67:I67"/>
    <mergeCell ref="H57:I57"/>
    <mergeCell ref="H47:J47"/>
    <mergeCell ref="H36:J36"/>
    <mergeCell ref="A22:F22"/>
    <mergeCell ref="A26:E26"/>
    <mergeCell ref="A36:C36"/>
    <mergeCell ref="A47:C47"/>
    <mergeCell ref="A57:B5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s>
  <conditionalFormatting sqref="A25">
    <cfRule type="containsText" dxfId="840" priority="11" operator="containsText" text="Not eligible for this exception">
      <formula>NOT(ISERROR(SEARCH("Not eligible for this exception",A25)))</formula>
    </cfRule>
  </conditionalFormatting>
  <conditionalFormatting sqref="H25">
    <cfRule type="containsText" dxfId="839" priority="10" operator="containsText" text="Not eligible for this exception">
      <formula>NOT(ISERROR(SEARCH("Not eligible for this exception",H25)))</formula>
    </cfRule>
  </conditionalFormatting>
  <conditionalFormatting sqref="B34:C35">
    <cfRule type="expression" dxfId="838" priority="7">
      <formula>$B$31&gt;=0</formula>
    </cfRule>
  </conditionalFormatting>
  <conditionalFormatting sqref="I34:J35">
    <cfRule type="expression" dxfId="837" priority="6">
      <formula>$I$31&gt;=0</formula>
    </cfRule>
  </conditionalFormatting>
  <conditionalFormatting sqref="B25:E25">
    <cfRule type="expression" dxfId="836" priority="5">
      <formula>$B$31&gt;=0</formula>
    </cfRule>
  </conditionalFormatting>
  <conditionalFormatting sqref="I25:L25">
    <cfRule type="expression" dxfId="835" priority="4">
      <formula>$I$31&gt;=0</formula>
    </cfRule>
  </conditionalFormatting>
  <hyperlinks>
    <hyperlink ref="C70" r:id="rId1"/>
    <hyperlink ref="J70" r:id="rId2"/>
    <hyperlink ref="A72" r:id="rId3" display="http://cifr.wested.org/resources/lea-moe/calculator/"/>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9" id="{14F4C0FB-6783-4A3D-937B-67CD721D1424}">
            <xm:f>'3. Getting Started'!$B$16="No"</xm:f>
            <x14:dxf>
              <fill>
                <patternFill>
                  <bgColor theme="1"/>
                </patternFill>
              </fill>
            </x14:dxf>
          </x14:cfRule>
          <xm:sqref>A60:B66</xm:sqref>
        </x14:conditionalFormatting>
        <x14:conditionalFormatting xmlns:xm="http://schemas.microsoft.com/office/excel/2006/main">
          <x14:cfRule type="expression" priority="8" id="{6B188320-AA72-4EF7-B9EB-824B117C83FE}">
            <xm:f>'3. Getting Started'!$B$16="No"</xm:f>
            <x14:dxf>
              <fill>
                <patternFill>
                  <bgColor theme="1"/>
                </patternFill>
              </fill>
            </x14:dxf>
          </x14:cfRule>
          <xm:sqref>H60:I66</xm:sqref>
        </x14:conditionalFormatting>
        <x14:conditionalFormatting xmlns:xm="http://schemas.microsoft.com/office/excel/2006/main">
          <x14:cfRule type="expression" priority="3" id="{4D25D60C-7705-43D5-BFD3-D919C1F86A95}">
            <xm:f>'3. Getting Started'!$B$7="Yes"</xm:f>
            <x14:dxf>
              <fill>
                <patternFill>
                  <bgColor theme="1"/>
                </patternFill>
              </fill>
            </x14:dxf>
          </x14:cfRule>
          <xm:sqref>B25:E25 I25:L25</xm:sqref>
        </x14:conditionalFormatting>
        <x14:conditionalFormatting xmlns:xm="http://schemas.microsoft.com/office/excel/2006/main">
          <x14:cfRule type="expression" priority="2" id="{BFF6367F-7767-4368-8FB0-558B5309A70C}">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autoPageBreaks="0"/>
  </sheetPr>
  <dimension ref="A1:M35"/>
  <sheetViews>
    <sheetView workbookViewId="0">
      <pane ySplit="4" topLeftCell="A5" activePane="bottomLeft" state="frozen"/>
      <selection pane="bottomLeft" activeCell="B1" sqref="B1"/>
    </sheetView>
  </sheetViews>
  <sheetFormatPr defaultColWidth="0" defaultRowHeight="15.75" zeroHeight="1" x14ac:dyDescent="0.25"/>
  <cols>
    <col min="1" max="1" width="34.5" style="3" bestFit="1" customWidth="1"/>
    <col min="2" max="3" width="11.25" style="3" customWidth="1"/>
    <col min="4" max="6" width="20.75" style="3" customWidth="1"/>
    <col min="7" max="7" width="4.75" style="3" customWidth="1"/>
    <col min="8" max="8" width="34.5" style="3" customWidth="1"/>
    <col min="9" max="10" width="11.25" style="3" customWidth="1"/>
    <col min="11" max="13" width="20.75" style="3" customWidth="1"/>
    <col min="14" max="16384" width="9.25" style="3" hidden="1"/>
  </cols>
  <sheetData>
    <row r="1" spans="1:13" ht="16.5" thickBot="1" x14ac:dyDescent="0.3">
      <c r="A1" s="368" t="s">
        <v>205</v>
      </c>
      <c r="B1" s="378"/>
      <c r="D1" s="474" t="s">
        <v>254</v>
      </c>
      <c r="E1" s="475" t="str">
        <f>IF('3. Getting Started'!$B2="","",'3. Getting Started'!$B2)</f>
        <v/>
      </c>
      <c r="G1" s="486" t="s">
        <v>219</v>
      </c>
      <c r="H1" s="368" t="s">
        <v>204</v>
      </c>
      <c r="I1" s="34"/>
      <c r="K1" s="474" t="s">
        <v>254</v>
      </c>
      <c r="L1" s="475" t="str">
        <f>IF('3. Getting Started'!$B2="","",'3. Getting Started'!$B2)</f>
        <v/>
      </c>
    </row>
    <row r="2" spans="1:13" s="4" customFormat="1" ht="37.9" customHeight="1" thickBot="1" x14ac:dyDescent="0.3">
      <c r="A2" s="364" t="s">
        <v>215</v>
      </c>
      <c r="B2" s="11"/>
      <c r="C2" s="11"/>
      <c r="D2" s="11"/>
      <c r="E2" s="11"/>
      <c r="F2" s="365"/>
      <c r="G2" s="486"/>
      <c r="H2" s="364" t="s">
        <v>216</v>
      </c>
      <c r="I2" s="11"/>
      <c r="J2" s="11"/>
      <c r="K2" s="11"/>
      <c r="L2" s="11"/>
      <c r="M2" s="365"/>
    </row>
    <row r="3" spans="1:13" s="4" customFormat="1" ht="24" customHeight="1" x14ac:dyDescent="0.25">
      <c r="A3" s="206"/>
      <c r="B3" s="363"/>
      <c r="C3" s="363"/>
      <c r="D3" s="12" t="s">
        <v>149</v>
      </c>
      <c r="E3" s="13"/>
      <c r="F3" s="371"/>
      <c r="G3" s="486"/>
      <c r="H3" s="206"/>
      <c r="I3" s="363"/>
      <c r="J3" s="363"/>
      <c r="K3" s="12" t="s">
        <v>150</v>
      </c>
      <c r="L3" s="13"/>
      <c r="M3" s="372"/>
    </row>
    <row r="4" spans="1:13" s="377" customFormat="1" ht="18.75" x14ac:dyDescent="0.3">
      <c r="A4" s="373" t="s">
        <v>3</v>
      </c>
      <c r="B4" s="374" t="s">
        <v>4</v>
      </c>
      <c r="C4" s="375" t="s">
        <v>189</v>
      </c>
      <c r="D4" s="376" t="s">
        <v>5</v>
      </c>
      <c r="E4" s="376" t="s">
        <v>6</v>
      </c>
      <c r="F4" s="376" t="s">
        <v>7</v>
      </c>
      <c r="G4" s="486"/>
      <c r="H4" s="373" t="s">
        <v>3</v>
      </c>
      <c r="I4" s="374" t="s">
        <v>4</v>
      </c>
      <c r="J4" s="375" t="s">
        <v>189</v>
      </c>
      <c r="K4" s="376" t="s">
        <v>5</v>
      </c>
      <c r="L4" s="376" t="s">
        <v>6</v>
      </c>
      <c r="M4" s="376" t="s">
        <v>7</v>
      </c>
    </row>
    <row r="5" spans="1:13" s="8" customFormat="1" x14ac:dyDescent="0.25">
      <c r="A5" s="33"/>
      <c r="B5" s="34"/>
      <c r="C5" s="361"/>
      <c r="D5" s="35"/>
      <c r="E5" s="35"/>
      <c r="F5" s="26">
        <f>SUM(D5:E5)</f>
        <v>0</v>
      </c>
      <c r="G5" s="486"/>
      <c r="H5" s="33"/>
      <c r="I5" s="34"/>
      <c r="J5" s="361"/>
      <c r="K5" s="35"/>
      <c r="L5" s="35"/>
      <c r="M5" s="26">
        <f>SUM(K5:L5)</f>
        <v>0</v>
      </c>
    </row>
    <row r="6" spans="1:13" s="8" customFormat="1" x14ac:dyDescent="0.25">
      <c r="A6" s="33"/>
      <c r="B6" s="34"/>
      <c r="C6" s="361"/>
      <c r="D6" s="35"/>
      <c r="E6" s="35"/>
      <c r="F6" s="26">
        <f t="shared" ref="F6:F29" si="0">SUM(D6:E6)</f>
        <v>0</v>
      </c>
      <c r="G6" s="486"/>
      <c r="H6" s="33"/>
      <c r="I6" s="34"/>
      <c r="J6" s="361"/>
      <c r="K6" s="35"/>
      <c r="L6" s="35"/>
      <c r="M6" s="26">
        <f t="shared" ref="M6:M29" si="1">SUM(K6:L6)</f>
        <v>0</v>
      </c>
    </row>
    <row r="7" spans="1:13" s="8" customFormat="1" x14ac:dyDescent="0.25">
      <c r="A7" s="33"/>
      <c r="B7" s="34"/>
      <c r="C7" s="361"/>
      <c r="D7" s="35"/>
      <c r="E7" s="35"/>
      <c r="F7" s="26">
        <f t="shared" si="0"/>
        <v>0</v>
      </c>
      <c r="G7" s="486"/>
      <c r="H7" s="33"/>
      <c r="I7" s="34"/>
      <c r="J7" s="361"/>
      <c r="K7" s="35"/>
      <c r="L7" s="35"/>
      <c r="M7" s="26">
        <f t="shared" si="1"/>
        <v>0</v>
      </c>
    </row>
    <row r="8" spans="1:13" s="8" customFormat="1" x14ac:dyDescent="0.25">
      <c r="A8" s="33"/>
      <c r="B8" s="34"/>
      <c r="C8" s="361"/>
      <c r="D8" s="35"/>
      <c r="E8" s="35"/>
      <c r="F8" s="26">
        <f t="shared" si="0"/>
        <v>0</v>
      </c>
      <c r="G8" s="486"/>
      <c r="H8" s="33"/>
      <c r="I8" s="34"/>
      <c r="J8" s="361"/>
      <c r="K8" s="35"/>
      <c r="L8" s="35"/>
      <c r="M8" s="26">
        <f t="shared" si="1"/>
        <v>0</v>
      </c>
    </row>
    <row r="9" spans="1:13" s="8" customFormat="1" x14ac:dyDescent="0.25">
      <c r="A9" s="33"/>
      <c r="B9" s="34"/>
      <c r="C9" s="361"/>
      <c r="D9" s="35"/>
      <c r="E9" s="35"/>
      <c r="F9" s="26">
        <f t="shared" si="0"/>
        <v>0</v>
      </c>
      <c r="G9" s="486"/>
      <c r="H9" s="33"/>
      <c r="I9" s="34"/>
      <c r="J9" s="361"/>
      <c r="K9" s="35"/>
      <c r="L9" s="35"/>
      <c r="M9" s="26">
        <f t="shared" si="1"/>
        <v>0</v>
      </c>
    </row>
    <row r="10" spans="1:13" s="8" customFormat="1" x14ac:dyDescent="0.25">
      <c r="A10" s="33"/>
      <c r="B10" s="34"/>
      <c r="C10" s="361"/>
      <c r="D10" s="35"/>
      <c r="E10" s="35"/>
      <c r="F10" s="26">
        <f t="shared" si="0"/>
        <v>0</v>
      </c>
      <c r="G10" s="486"/>
      <c r="H10" s="33"/>
      <c r="I10" s="34"/>
      <c r="J10" s="361"/>
      <c r="K10" s="35"/>
      <c r="L10" s="35"/>
      <c r="M10" s="26">
        <f t="shared" si="1"/>
        <v>0</v>
      </c>
    </row>
    <row r="11" spans="1:13" s="8" customFormat="1" x14ac:dyDescent="0.25">
      <c r="A11" s="33"/>
      <c r="B11" s="34"/>
      <c r="C11" s="361"/>
      <c r="D11" s="35"/>
      <c r="E11" s="35"/>
      <c r="F11" s="26">
        <f t="shared" si="0"/>
        <v>0</v>
      </c>
      <c r="G11" s="486"/>
      <c r="H11" s="33"/>
      <c r="I11" s="34"/>
      <c r="J11" s="361"/>
      <c r="K11" s="35"/>
      <c r="L11" s="35"/>
      <c r="M11" s="26">
        <f t="shared" si="1"/>
        <v>0</v>
      </c>
    </row>
    <row r="12" spans="1:13" s="8" customFormat="1" x14ac:dyDescent="0.25">
      <c r="A12" s="33"/>
      <c r="B12" s="34"/>
      <c r="C12" s="361"/>
      <c r="D12" s="35"/>
      <c r="E12" s="35"/>
      <c r="F12" s="26">
        <f t="shared" si="0"/>
        <v>0</v>
      </c>
      <c r="G12" s="486"/>
      <c r="H12" s="33"/>
      <c r="I12" s="34"/>
      <c r="J12" s="361"/>
      <c r="K12" s="35"/>
      <c r="L12" s="35"/>
      <c r="M12" s="26">
        <f t="shared" si="1"/>
        <v>0</v>
      </c>
    </row>
    <row r="13" spans="1:13" s="8" customFormat="1" x14ac:dyDescent="0.25">
      <c r="A13" s="33"/>
      <c r="B13" s="34"/>
      <c r="C13" s="361"/>
      <c r="D13" s="35"/>
      <c r="E13" s="35"/>
      <c r="F13" s="26">
        <f t="shared" si="0"/>
        <v>0</v>
      </c>
      <c r="G13" s="486"/>
      <c r="H13" s="33"/>
      <c r="I13" s="34"/>
      <c r="J13" s="361"/>
      <c r="K13" s="35"/>
      <c r="L13" s="35"/>
      <c r="M13" s="26">
        <f t="shared" si="1"/>
        <v>0</v>
      </c>
    </row>
    <row r="14" spans="1:13" s="8" customFormat="1" x14ac:dyDescent="0.25">
      <c r="A14" s="33"/>
      <c r="B14" s="34"/>
      <c r="C14" s="361"/>
      <c r="D14" s="35"/>
      <c r="E14" s="35"/>
      <c r="F14" s="26">
        <f t="shared" si="0"/>
        <v>0</v>
      </c>
      <c r="G14" s="486"/>
      <c r="H14" s="33"/>
      <c r="I14" s="34"/>
      <c r="J14" s="361"/>
      <c r="K14" s="35"/>
      <c r="L14" s="35"/>
      <c r="M14" s="26">
        <f t="shared" si="1"/>
        <v>0</v>
      </c>
    </row>
    <row r="15" spans="1:13" s="8" customFormat="1" x14ac:dyDescent="0.25">
      <c r="A15" s="33"/>
      <c r="B15" s="34"/>
      <c r="C15" s="361"/>
      <c r="D15" s="35"/>
      <c r="E15" s="35"/>
      <c r="F15" s="26">
        <f t="shared" si="0"/>
        <v>0</v>
      </c>
      <c r="G15" s="486"/>
      <c r="H15" s="33"/>
      <c r="I15" s="34"/>
      <c r="J15" s="361"/>
      <c r="K15" s="35"/>
      <c r="L15" s="35"/>
      <c r="M15" s="26">
        <f t="shared" si="1"/>
        <v>0</v>
      </c>
    </row>
    <row r="16" spans="1:13" s="8" customFormat="1" x14ac:dyDescent="0.25">
      <c r="A16" s="33"/>
      <c r="B16" s="34"/>
      <c r="C16" s="361"/>
      <c r="D16" s="35"/>
      <c r="E16" s="35"/>
      <c r="F16" s="26">
        <f t="shared" si="0"/>
        <v>0</v>
      </c>
      <c r="G16" s="486"/>
      <c r="H16" s="33"/>
      <c r="I16" s="34"/>
      <c r="J16" s="361"/>
      <c r="K16" s="35"/>
      <c r="L16" s="35"/>
      <c r="M16" s="26">
        <f t="shared" si="1"/>
        <v>0</v>
      </c>
    </row>
    <row r="17" spans="1:13" s="8" customFormat="1" x14ac:dyDescent="0.25">
      <c r="A17" s="33"/>
      <c r="B17" s="34"/>
      <c r="C17" s="361"/>
      <c r="D17" s="35"/>
      <c r="E17" s="35"/>
      <c r="F17" s="26">
        <f t="shared" si="0"/>
        <v>0</v>
      </c>
      <c r="G17" s="486"/>
      <c r="H17" s="33"/>
      <c r="I17" s="34"/>
      <c r="J17" s="361"/>
      <c r="K17" s="35"/>
      <c r="L17" s="35"/>
      <c r="M17" s="26">
        <f t="shared" si="1"/>
        <v>0</v>
      </c>
    </row>
    <row r="18" spans="1:13" s="8" customFormat="1" x14ac:dyDescent="0.25">
      <c r="A18" s="33"/>
      <c r="B18" s="34"/>
      <c r="C18" s="361"/>
      <c r="D18" s="35"/>
      <c r="E18" s="35"/>
      <c r="F18" s="26">
        <f t="shared" si="0"/>
        <v>0</v>
      </c>
      <c r="G18" s="486"/>
      <c r="H18" s="33"/>
      <c r="I18" s="34"/>
      <c r="J18" s="361"/>
      <c r="K18" s="35"/>
      <c r="L18" s="35"/>
      <c r="M18" s="26">
        <f t="shared" si="1"/>
        <v>0</v>
      </c>
    </row>
    <row r="19" spans="1:13" s="8" customFormat="1" x14ac:dyDescent="0.25">
      <c r="A19" s="33"/>
      <c r="B19" s="34"/>
      <c r="C19" s="361"/>
      <c r="D19" s="35"/>
      <c r="E19" s="35"/>
      <c r="F19" s="26">
        <f t="shared" si="0"/>
        <v>0</v>
      </c>
      <c r="G19" s="486"/>
      <c r="H19" s="33"/>
      <c r="I19" s="34"/>
      <c r="J19" s="361"/>
      <c r="K19" s="35"/>
      <c r="L19" s="35"/>
      <c r="M19" s="26">
        <f t="shared" si="1"/>
        <v>0</v>
      </c>
    </row>
    <row r="20" spans="1:13" s="8" customFormat="1" x14ac:dyDescent="0.25">
      <c r="A20" s="33"/>
      <c r="B20" s="34"/>
      <c r="C20" s="361"/>
      <c r="D20" s="35"/>
      <c r="E20" s="35"/>
      <c r="F20" s="26">
        <f t="shared" si="0"/>
        <v>0</v>
      </c>
      <c r="G20" s="486"/>
      <c r="H20" s="33"/>
      <c r="I20" s="34"/>
      <c r="J20" s="361"/>
      <c r="K20" s="35"/>
      <c r="L20" s="35"/>
      <c r="M20" s="26">
        <f t="shared" si="1"/>
        <v>0</v>
      </c>
    </row>
    <row r="21" spans="1:13" s="8" customFormat="1" x14ac:dyDescent="0.25">
      <c r="A21" s="33"/>
      <c r="B21" s="34"/>
      <c r="C21" s="361"/>
      <c r="D21" s="35"/>
      <c r="E21" s="35"/>
      <c r="F21" s="26">
        <f t="shared" si="0"/>
        <v>0</v>
      </c>
      <c r="G21" s="486"/>
      <c r="H21" s="33"/>
      <c r="I21" s="34"/>
      <c r="J21" s="361"/>
      <c r="K21" s="35"/>
      <c r="L21" s="35"/>
      <c r="M21" s="26">
        <f t="shared" si="1"/>
        <v>0</v>
      </c>
    </row>
    <row r="22" spans="1:13" s="8" customFormat="1" x14ac:dyDescent="0.25">
      <c r="A22" s="33"/>
      <c r="B22" s="34"/>
      <c r="C22" s="361"/>
      <c r="D22" s="35"/>
      <c r="E22" s="35"/>
      <c r="F22" s="26">
        <f t="shared" si="0"/>
        <v>0</v>
      </c>
      <c r="G22" s="486"/>
      <c r="H22" s="33"/>
      <c r="I22" s="34"/>
      <c r="J22" s="361"/>
      <c r="K22" s="35"/>
      <c r="L22" s="35"/>
      <c r="M22" s="26">
        <f t="shared" si="1"/>
        <v>0</v>
      </c>
    </row>
    <row r="23" spans="1:13" s="8" customFormat="1" x14ac:dyDescent="0.25">
      <c r="A23" s="33"/>
      <c r="B23" s="34"/>
      <c r="C23" s="361"/>
      <c r="D23" s="35"/>
      <c r="E23" s="35"/>
      <c r="F23" s="26">
        <f t="shared" si="0"/>
        <v>0</v>
      </c>
      <c r="G23" s="486"/>
      <c r="H23" s="33"/>
      <c r="I23" s="34"/>
      <c r="J23" s="361"/>
      <c r="K23" s="35"/>
      <c r="L23" s="35"/>
      <c r="M23" s="26">
        <f t="shared" si="1"/>
        <v>0</v>
      </c>
    </row>
    <row r="24" spans="1:13" s="8" customFormat="1" x14ac:dyDescent="0.25">
      <c r="A24" s="33"/>
      <c r="B24" s="34"/>
      <c r="C24" s="361"/>
      <c r="D24" s="35"/>
      <c r="E24" s="35"/>
      <c r="F24" s="26">
        <f t="shared" si="0"/>
        <v>0</v>
      </c>
      <c r="G24" s="486"/>
      <c r="H24" s="33"/>
      <c r="I24" s="34"/>
      <c r="J24" s="361"/>
      <c r="K24" s="35"/>
      <c r="L24" s="35"/>
      <c r="M24" s="26">
        <f t="shared" si="1"/>
        <v>0</v>
      </c>
    </row>
    <row r="25" spans="1:13" s="8" customFormat="1" x14ac:dyDescent="0.25">
      <c r="A25" s="33"/>
      <c r="B25" s="34"/>
      <c r="C25" s="361"/>
      <c r="D25" s="35"/>
      <c r="E25" s="35"/>
      <c r="F25" s="26">
        <f t="shared" si="0"/>
        <v>0</v>
      </c>
      <c r="G25" s="486"/>
      <c r="H25" s="33"/>
      <c r="I25" s="34"/>
      <c r="J25" s="361"/>
      <c r="K25" s="35"/>
      <c r="L25" s="35"/>
      <c r="M25" s="26">
        <f t="shared" si="1"/>
        <v>0</v>
      </c>
    </row>
    <row r="26" spans="1:13" s="8" customFormat="1" x14ac:dyDescent="0.25">
      <c r="A26" s="33"/>
      <c r="B26" s="34"/>
      <c r="C26" s="361"/>
      <c r="D26" s="35"/>
      <c r="E26" s="35"/>
      <c r="F26" s="26">
        <f t="shared" si="0"/>
        <v>0</v>
      </c>
      <c r="G26" s="486"/>
      <c r="H26" s="33"/>
      <c r="I26" s="34"/>
      <c r="J26" s="361"/>
      <c r="K26" s="35"/>
      <c r="L26" s="35"/>
      <c r="M26" s="26">
        <f t="shared" si="1"/>
        <v>0</v>
      </c>
    </row>
    <row r="27" spans="1:13" s="8" customFormat="1" x14ac:dyDescent="0.25">
      <c r="A27" s="33"/>
      <c r="B27" s="34"/>
      <c r="C27" s="361"/>
      <c r="D27" s="35"/>
      <c r="E27" s="35"/>
      <c r="F27" s="26">
        <f t="shared" si="0"/>
        <v>0</v>
      </c>
      <c r="G27" s="486"/>
      <c r="H27" s="33"/>
      <c r="I27" s="34"/>
      <c r="J27" s="361"/>
      <c r="K27" s="35"/>
      <c r="L27" s="35"/>
      <c r="M27" s="26">
        <f t="shared" si="1"/>
        <v>0</v>
      </c>
    </row>
    <row r="28" spans="1:13" s="8" customFormat="1" x14ac:dyDescent="0.25">
      <c r="A28" s="33"/>
      <c r="B28" s="34"/>
      <c r="C28" s="361"/>
      <c r="D28" s="35"/>
      <c r="E28" s="35"/>
      <c r="F28" s="26">
        <f t="shared" si="0"/>
        <v>0</v>
      </c>
      <c r="G28" s="486"/>
      <c r="H28" s="33"/>
      <c r="I28" s="34"/>
      <c r="J28" s="361"/>
      <c r="K28" s="35"/>
      <c r="L28" s="35"/>
      <c r="M28" s="26">
        <f t="shared" si="1"/>
        <v>0</v>
      </c>
    </row>
    <row r="29" spans="1:13" s="8" customFormat="1" ht="16.5" thickBot="1" x14ac:dyDescent="0.3">
      <c r="A29" s="36"/>
      <c r="B29" s="37"/>
      <c r="C29" s="362"/>
      <c r="D29" s="38"/>
      <c r="E29" s="38"/>
      <c r="F29" s="27">
        <f t="shared" si="0"/>
        <v>0</v>
      </c>
      <c r="G29" s="486"/>
      <c r="H29" s="36"/>
      <c r="I29" s="37"/>
      <c r="J29" s="362"/>
      <c r="K29" s="38"/>
      <c r="L29" s="38"/>
      <c r="M29" s="27">
        <f t="shared" si="1"/>
        <v>0</v>
      </c>
    </row>
    <row r="30" spans="1:13" ht="19.5" thickBot="1" x14ac:dyDescent="0.3">
      <c r="A30" s="29"/>
      <c r="B30" s="366"/>
      <c r="C30" s="209"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66"/>
      <c r="J30" s="209"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67"/>
      <c r="C31" s="210" t="s">
        <v>51</v>
      </c>
      <c r="D31" s="31" t="str">
        <f>IF(OR($B1="",D30=""),"",(D30/$B1))</f>
        <v/>
      </c>
      <c r="E31" s="32"/>
      <c r="F31" s="31" t="str">
        <f>IF(OR($B1="",F30=""),"",(F30/$B1))</f>
        <v/>
      </c>
      <c r="G31" s="486"/>
      <c r="H31" s="29"/>
      <c r="I31" s="367"/>
      <c r="J31" s="210" t="s">
        <v>51</v>
      </c>
      <c r="K31" s="31" t="str">
        <f>IF(OR($I1="",K30="",),"",(K30/$I1))</f>
        <v/>
      </c>
      <c r="L31" s="32"/>
      <c r="M31" s="31" t="str">
        <f>IF(OR($I1="",M30=""),"",(M30/$I1))</f>
        <v/>
      </c>
    </row>
    <row r="32" spans="1:13" s="451" customFormat="1" ht="12" x14ac:dyDescent="0.2">
      <c r="A32" s="428" t="s">
        <v>258</v>
      </c>
      <c r="B32" s="447"/>
      <c r="C32" s="448"/>
      <c r="D32" s="449"/>
      <c r="E32" s="450"/>
      <c r="F32" s="449"/>
      <c r="G32" s="433"/>
      <c r="H32" s="447"/>
      <c r="I32" s="447"/>
      <c r="J32" s="448"/>
      <c r="K32" s="449"/>
      <c r="L32" s="450"/>
      <c r="M32" s="449"/>
    </row>
    <row r="33" spans="1:13" s="451" customFormat="1" ht="12" x14ac:dyDescent="0.2">
      <c r="A33" s="429" t="s">
        <v>252</v>
      </c>
      <c r="B33" s="447"/>
      <c r="C33" s="448"/>
      <c r="D33" s="449"/>
      <c r="E33" s="450"/>
      <c r="F33" s="449"/>
      <c r="G33" s="433"/>
      <c r="H33" s="447"/>
      <c r="I33" s="447"/>
      <c r="J33" s="448"/>
      <c r="K33" s="449"/>
      <c r="L33" s="450"/>
      <c r="M33" s="449"/>
    </row>
    <row r="34" spans="1:13" s="4" customFormat="1" ht="18.75" x14ac:dyDescent="0.25">
      <c r="A34" s="487" t="s">
        <v>221</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yg48WqEcMcPoiqaIBIQmzQD5335VVpzrFNYi4WXjmOkXcZim8O85KwEGXWCii4nbjWjw92PFs1mKjh2xhABSTg==" saltValue="cHaQpwkztlifgmrfnY4ILA==" spinCount="100000" sheet="1" objects="1" scenarios="1" formatColumns="0" formatRows="0"/>
  <mergeCells count="2">
    <mergeCell ref="G1:G31"/>
    <mergeCell ref="A34:M34"/>
  </mergeCells>
  <hyperlinks>
    <hyperlink ref="A33" r:id="rId1" display="http://cifr.wested.org/resources/lea-moe/calculator/"/>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6BE6FA16-240E-4762-A4D9-E9C1B6143896}">
            <xm:f>'3. Getting Started'!$B$6="No"</xm:f>
            <x14:dxf>
              <fill>
                <patternFill>
                  <bgColor theme="1"/>
                </patternFill>
              </fill>
            </x14:dxf>
          </x14:cfRule>
          <xm:sqref>D5:D31 K5:K31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autoPageBreaks="0"/>
  </sheetPr>
  <dimension ref="A1:P100"/>
  <sheetViews>
    <sheetView workbookViewId="0">
      <pane ySplit="2" topLeftCell="A3" activePane="bottomLeft" state="frozen"/>
      <selection pane="bottomLeft" activeCell="B1" sqref="B1"/>
    </sheetView>
  </sheetViews>
  <sheetFormatPr defaultColWidth="0" defaultRowHeight="15.75" zeroHeight="1" x14ac:dyDescent="0.25"/>
  <cols>
    <col min="1" max="1" width="28.75" style="217" customWidth="1"/>
    <col min="2" max="2" width="15.75" style="217" customWidth="1"/>
    <col min="3" max="3" width="13.75" style="217" customWidth="1"/>
    <col min="4" max="4" width="27.75" style="219" customWidth="1"/>
    <col min="5" max="5" width="28.75" style="45" customWidth="1"/>
    <col min="6" max="6" width="15.75" style="45" customWidth="1"/>
    <col min="7" max="7" width="13.75" style="45" customWidth="1"/>
    <col min="8" max="8" width="27.75" style="219" customWidth="1"/>
    <col min="9" max="9" width="28.75" style="45" customWidth="1"/>
    <col min="10" max="10" width="15.75" style="45" customWidth="1"/>
    <col min="11" max="11" width="13.75" style="45" customWidth="1"/>
    <col min="12" max="12" width="27.75" style="220" customWidth="1"/>
    <col min="13" max="13" width="28.75" style="45" customWidth="1"/>
    <col min="14" max="14" width="15.75" style="45" customWidth="1"/>
    <col min="15" max="15" width="13.75" style="45" customWidth="1"/>
    <col min="16" max="16" width="27.75" style="220" customWidth="1"/>
    <col min="17" max="16384" width="8.75" style="217" hidden="1"/>
  </cols>
  <sheetData>
    <row r="1" spans="1:16" ht="31.5" x14ac:dyDescent="0.25">
      <c r="A1" s="216" t="s">
        <v>111</v>
      </c>
      <c r="B1" s="289" t="s">
        <v>110</v>
      </c>
      <c r="D1" s="218" t="s">
        <v>57</v>
      </c>
      <c r="G1" s="474" t="s">
        <v>254</v>
      </c>
      <c r="H1" s="475" t="str">
        <f>IF('3. Getting Started'!$B2="","",'3. Getting Started'!$B2)</f>
        <v/>
      </c>
    </row>
    <row r="2" spans="1:16" x14ac:dyDescent="0.25">
      <c r="A2" s="221" t="s">
        <v>19</v>
      </c>
      <c r="B2" s="222"/>
      <c r="C2" s="222"/>
      <c r="E2" s="221" t="s">
        <v>49</v>
      </c>
      <c r="F2" s="223"/>
      <c r="G2" s="223"/>
      <c r="I2" s="221" t="s">
        <v>50</v>
      </c>
      <c r="J2" s="223"/>
      <c r="K2" s="223"/>
      <c r="M2" s="221" t="s">
        <v>52</v>
      </c>
      <c r="N2" s="223"/>
      <c r="O2" s="223"/>
    </row>
    <row r="3" spans="1:16" ht="31.5" x14ac:dyDescent="0.25">
      <c r="A3" s="224" t="s">
        <v>18</v>
      </c>
      <c r="B3" s="225" t="s">
        <v>9</v>
      </c>
      <c r="C3" s="226" t="s">
        <v>55</v>
      </c>
      <c r="E3" s="224" t="s">
        <v>18</v>
      </c>
      <c r="F3" s="227" t="s">
        <v>0</v>
      </c>
      <c r="G3" s="228" t="s">
        <v>55</v>
      </c>
      <c r="I3" s="229" t="s">
        <v>18</v>
      </c>
      <c r="J3" s="230" t="s">
        <v>1</v>
      </c>
      <c r="K3" s="231" t="s">
        <v>55</v>
      </c>
      <c r="M3" s="229" t="s">
        <v>18</v>
      </c>
      <c r="N3" s="230" t="s">
        <v>53</v>
      </c>
      <c r="O3" s="231" t="s">
        <v>55</v>
      </c>
    </row>
    <row r="4" spans="1:16" x14ac:dyDescent="0.25">
      <c r="A4" s="232" t="s">
        <v>54</v>
      </c>
      <c r="B4" s="233" t="str">
        <f>IF($B$1="Eligibility",LOOKUP(2,1/SEARCH("Met",'4. Multi-Year MOE Summary'!$E$3:$E$10,1),'4. Multi-Year MOE Summary'!$A$3:$A$10),IF($B$1="Compliance",LOOKUP(2,1/SEARCH("Met",'4. Multi-Year MOE Summary'!$E$3:$E$11,1),'4. Multi-Year MOE Summary'!$A$3:$A$11),""))</f>
        <v>2010-2011</v>
      </c>
      <c r="C4" s="234"/>
      <c r="E4" s="232" t="s">
        <v>54</v>
      </c>
      <c r="F4" s="233" t="str">
        <f>IF($B$1="Eligibility",LOOKUP(2,1/SEARCH("Met",'4. Multi-Year MOE Summary'!$G$3:$G$10,1),'4. Multi-Year MOE Summary'!$A$3:$A$10),IF($B$1="Compliance",LOOKUP(2,1/SEARCH("Met",'4. Multi-Year MOE Summary'!$G$3:$G$11,1),'4. Multi-Year MOE Summary'!$A$3:$A$11),""))</f>
        <v>2010-2011</v>
      </c>
      <c r="G4" s="234"/>
      <c r="I4" s="235" t="s">
        <v>54</v>
      </c>
      <c r="J4" s="233" t="str">
        <f>IF($B$1="Eligibility",LOOKUP(2,1/SEARCH("Met",'4. Multi-Year MOE Summary'!$I$3:$I$10,1),'4. Multi-Year MOE Summary'!$A$3:$A$10),IF($B$1="Compliance",LOOKUP(2,1/SEARCH("Met",'4. Multi-Year MOE Summary'!$I$3:$I$11,1),'4. Multi-Year MOE Summary'!$A$3:$A$11),""))</f>
        <v>2010-2011</v>
      </c>
      <c r="K4" s="236"/>
      <c r="M4" s="235" t="s">
        <v>54</v>
      </c>
      <c r="N4" s="233" t="str">
        <f>IF($B$1="Eligibility",LOOKUP(2,1/SEARCH("Met",'4. Multi-Year MOE Summary'!$K$3:$K$10,1),'4. Multi-Year MOE Summary'!$A$3:$A$10),IF($B$1="Compliance",LOOKUP(2,1/SEARCH("Met",'4. Multi-Year MOE Summary'!$K$3:$K$11,1),'4. Multi-Year MOE Summary'!$A$3:$A$11),""))</f>
        <v>2010-2011</v>
      </c>
      <c r="O4" s="236"/>
    </row>
    <row r="5" spans="1:16" x14ac:dyDescent="0.25">
      <c r="A5" s="232" t="s">
        <v>20</v>
      </c>
      <c r="B5" s="233">
        <f>IF($B$1="Eligibility",LOOKUP(B4,'4. Multi-Year MOE Summary'!$A$3:$A$10,'4. Multi-Year MOE Summary'!$D$3:$D$10),IF($B$1="Compliance",LOOKUP(B4,'4. Multi-Year MOE Summary'!$A$3:$A$11,'4. Multi-Year MOE Summary'!$D$3:$D$11)))</f>
        <v>0</v>
      </c>
      <c r="C5" s="237"/>
      <c r="E5" s="232" t="s">
        <v>20</v>
      </c>
      <c r="F5" s="233">
        <f>IF($B$1="Eligibility",LOOKUP(F4,'4. Multi-Year MOE Summary'!$A$3:$A$10,'4. Multi-Year MOE Summary'!$F$3:$F$10),IF($B$1="Compliance",LOOKUP(F4,'4. Multi-Year MOE Summary'!$A$3:$A$11,'4. Multi-Year MOE Summary'!$F$3:$F$11)))</f>
        <v>0</v>
      </c>
      <c r="G5" s="237"/>
      <c r="H5" s="220"/>
      <c r="I5" s="235" t="s">
        <v>20</v>
      </c>
      <c r="J5" s="233" t="str">
        <f>IF($B$1="Eligibility",LOOKUP(J4,'4. Multi-Year MOE Summary'!$A$3:$A$10,'4. Multi-Year MOE Summary'!$H$3:$H$10),IF($B$1="Compliance",LOOKUP(J4,'4. Multi-Year MOE Summary'!$A$3:$A$11,'4. Multi-Year MOE Summary'!$H$3:$H$11)))</f>
        <v/>
      </c>
      <c r="K5" s="238"/>
      <c r="M5" s="235" t="s">
        <v>20</v>
      </c>
      <c r="N5" s="233" t="str">
        <f>IF($B$1="Eligibility",LOOKUP(N4,'4. Multi-Year MOE Summary'!$A$3:$A$10,'4. Multi-Year MOE Summary'!$J$3:$J$10),IF($B$1="Compliance",LOOKUP(N4,'4. Multi-Year MOE Summary'!$A$3:$A$11,'4. Multi-Year MOE Summary'!$J$3:$J$11)))</f>
        <v/>
      </c>
      <c r="O5" s="238"/>
    </row>
    <row r="6" spans="1:16" x14ac:dyDescent="0.25">
      <c r="A6" s="232" t="s">
        <v>172</v>
      </c>
      <c r="B6" s="239" t="str">
        <f>IF($B$1="Eligibility",'17. 19-20 Amounts'!D30,'17. 19-20 Amounts'!K30)</f>
        <v/>
      </c>
      <c r="C6" s="240" t="str">
        <f>IF(B6="","",IF(B6&gt;=B5,"Met","Did Not Meet"))</f>
        <v/>
      </c>
      <c r="D6" s="241" t="str">
        <f>IF(C6="","",IF(C6="Met","You have met MOE.","Add exception information."))</f>
        <v/>
      </c>
      <c r="E6" s="232" t="s">
        <v>172</v>
      </c>
      <c r="F6" s="239" t="str">
        <f>IF($B$1="Eligibility",'17. 19-20 Amounts'!F30,'17. 19-20 Amounts'!M30)</f>
        <v/>
      </c>
      <c r="G6" s="240" t="str">
        <f>IF(F6="","",IF(F6&gt;=F5,"Met","Did Not Meet"))</f>
        <v/>
      </c>
      <c r="H6" s="241" t="str">
        <f>IF(G6="","",IF(G6="Met","You have met MOE.","Add exception information."))</f>
        <v/>
      </c>
      <c r="I6" s="232" t="s">
        <v>172</v>
      </c>
      <c r="J6" s="238" t="str">
        <f>IF($B$1="Eligibility",'17. 19-20 Amounts'!D31,'17. 19-20 Amounts'!K31)</f>
        <v/>
      </c>
      <c r="K6" s="240" t="str">
        <f>IF(J6="","",IF(J6&gt;=J5,"Met","Did Not Meet"))</f>
        <v/>
      </c>
      <c r="L6" s="241" t="str">
        <f>IF(K6="","",IF(K6="Met","You have met MOE.","Add exception information."))</f>
        <v/>
      </c>
      <c r="M6" s="232" t="s">
        <v>172</v>
      </c>
      <c r="N6" s="239" t="str">
        <f>IF($B$1="Eligibility",'17. 19-20 Amounts'!F31,'17. 19-20 Amounts'!M31)</f>
        <v/>
      </c>
      <c r="O6" s="240" t="str">
        <f>IF(N6="","",IF(N6&gt;=N5,"Met","Did Not Meet"))</f>
        <v/>
      </c>
      <c r="P6" s="241" t="str">
        <f>IF(O6="","",IF(O6="Met","You have met MOE.","Add exception information."))</f>
        <v/>
      </c>
    </row>
    <row r="7" spans="1:16" x14ac:dyDescent="0.25">
      <c r="A7" s="232" t="s">
        <v>201</v>
      </c>
      <c r="B7" s="233" t="str">
        <f>IF(C6="","",IF(C6="Met",0,(B5-B6)))</f>
        <v/>
      </c>
      <c r="C7" s="237"/>
      <c r="D7" s="220"/>
      <c r="E7" s="232" t="s">
        <v>201</v>
      </c>
      <c r="F7" s="233" t="str">
        <f>IF(G6="","",IF(G6="Met",0,(F5-F6)))</f>
        <v/>
      </c>
      <c r="G7" s="237"/>
      <c r="H7" s="220"/>
      <c r="I7" s="232" t="s">
        <v>201</v>
      </c>
      <c r="J7" s="233">
        <f>IF(K6="",0,IF(K6="Met",0,(J5-J6)))</f>
        <v>0</v>
      </c>
      <c r="K7" s="237"/>
      <c r="M7" s="232" t="s">
        <v>201</v>
      </c>
      <c r="N7" s="233">
        <f>IF(O6="",0,IF(O6="Met",0,(N5-N6)))</f>
        <v>0</v>
      </c>
      <c r="O7" s="237"/>
    </row>
    <row r="8" spans="1:16" x14ac:dyDescent="0.25">
      <c r="A8" s="232" t="s">
        <v>45</v>
      </c>
      <c r="B8" s="233">
        <f>IF(C6="Met","NA",B81)</f>
        <v>0</v>
      </c>
      <c r="C8" s="240"/>
      <c r="D8" s="220"/>
      <c r="E8" s="232" t="s">
        <v>45</v>
      </c>
      <c r="F8" s="233">
        <f>IF(G6="Met","NA",F81)</f>
        <v>0</v>
      </c>
      <c r="G8" s="240"/>
      <c r="H8" s="220"/>
      <c r="I8" s="232" t="s">
        <v>45</v>
      </c>
      <c r="J8" s="233" t="str">
        <f>IF(K6="","",IF(K6="Met","NA",J82))</f>
        <v/>
      </c>
      <c r="K8" s="240"/>
      <c r="M8" s="232" t="s">
        <v>45</v>
      </c>
      <c r="N8" s="233" t="str">
        <f>IF(O6="","",IF(O6="Met","NA",N82))</f>
        <v/>
      </c>
      <c r="O8" s="240"/>
    </row>
    <row r="9" spans="1:16" x14ac:dyDescent="0.25">
      <c r="A9" s="232" t="s">
        <v>202</v>
      </c>
      <c r="B9" s="233" t="str">
        <f>IF(C6="","",IF(C6="Met",0,(B7-B8)))</f>
        <v/>
      </c>
      <c r="C9" s="240" t="str">
        <f>IF(C6="","",IF(C6="Met","",IF(B9&lt;=0,"Met","Did Not Meet")))</f>
        <v/>
      </c>
      <c r="D9" s="242" t="str">
        <f>IF(C6="","",IF(C6="Met","Exceptions not needed.",IF(C9="Met","MOE met using exceptions.","Add adjustment information.")))</f>
        <v/>
      </c>
      <c r="E9" s="232" t="s">
        <v>202</v>
      </c>
      <c r="F9" s="233" t="str">
        <f>IF(G6="","",IF(G6="Met",0,(F7-F8)))</f>
        <v/>
      </c>
      <c r="G9" s="240" t="str">
        <f>IF(G6="","",IF(G6="Met","",IF(F9&lt;=0,"Met","Did Not Meet")))</f>
        <v/>
      </c>
      <c r="H9" s="242" t="str">
        <f>IF(G6="","",IF(G6="Met","Exceptions not needed.",IF(G9="Met","MOE met using exceptions.","Add adjustment information.")))</f>
        <v/>
      </c>
      <c r="I9" s="232" t="s">
        <v>202</v>
      </c>
      <c r="J9" s="233">
        <f>IF(K6="",0,IF(K6="Met",0,(J7-J8)))</f>
        <v>0</v>
      </c>
      <c r="K9" s="240" t="str">
        <f>IF(K6="","",IF(K6="Met","",IF(J9&lt;=0,"Met","Did Not Meet")))</f>
        <v/>
      </c>
      <c r="L9" s="242" t="str">
        <f>IF(K6="","",IF(K6="Met","Exceptions not needed.",IF(K9="Met","MOE met using exceptions.","Add adjustment information.")))</f>
        <v/>
      </c>
      <c r="M9" s="232" t="s">
        <v>202</v>
      </c>
      <c r="N9" s="233">
        <f>IF(O6="",0,IF(O6="Met",0,(N7-N8)))</f>
        <v>0</v>
      </c>
      <c r="O9" s="240" t="str">
        <f>IF(O6="","",IF(O6="Met","",IF(N9&lt;=0,"Met","Did Not Meet")))</f>
        <v/>
      </c>
      <c r="P9" s="242" t="str">
        <f>IF(O6="","",IF(O6="Met","Exceptions not needed.",IF(O9="Met","MOE met using exceptions.","Add adjustment information.")))</f>
        <v/>
      </c>
    </row>
    <row r="10" spans="1:16" x14ac:dyDescent="0.25">
      <c r="A10" s="232" t="s">
        <v>46</v>
      </c>
      <c r="B10" s="233">
        <f>IF(C6="Met","NA",IF(C9="Met","NA",B95))</f>
        <v>0</v>
      </c>
      <c r="C10" s="240"/>
      <c r="D10" s="242"/>
      <c r="E10" s="232" t="s">
        <v>46</v>
      </c>
      <c r="F10" s="233">
        <f>IF(G6="Met","NA",IF(G9="Met","NA",F95))</f>
        <v>0</v>
      </c>
      <c r="G10" s="240"/>
      <c r="H10" s="242"/>
      <c r="I10" s="232" t="s">
        <v>46</v>
      </c>
      <c r="J10" s="233" t="str">
        <f>IF(K6="Met","NA",IF(K9="Met","NA",J97))</f>
        <v/>
      </c>
      <c r="K10" s="240"/>
      <c r="L10" s="242"/>
      <c r="M10" s="232" t="s">
        <v>46</v>
      </c>
      <c r="N10" s="233" t="str">
        <f>IF(O6="Met","NA",IF(O9="Met","NA",N97))</f>
        <v/>
      </c>
      <c r="O10" s="240"/>
      <c r="P10" s="242"/>
    </row>
    <row r="11" spans="1:16" x14ac:dyDescent="0.25">
      <c r="A11" s="243" t="s">
        <v>203</v>
      </c>
      <c r="B11" s="244" t="str">
        <f>IF(C6="","",IF(C6="Met",0,IF(C9="Met",0,(B9-B10))))</f>
        <v/>
      </c>
      <c r="C11" s="240" t="str">
        <f>IF(C6="","",IF(C6="Met","",IF(C9="Met","",IF(B11&lt;=0,"Met","Did Not Meet"))))</f>
        <v/>
      </c>
      <c r="D11" s="245" t="str">
        <f>IF(C6="","",IF(C6="Met","Adjustment not needed.",IF(C9="Met","Adjustment not needed.",IF(C11="Met","MOE met using exceptions &amp; adjustment.","Use another method."))))</f>
        <v/>
      </c>
      <c r="E11" s="243" t="s">
        <v>203</v>
      </c>
      <c r="F11" s="244" t="str">
        <f>IF(G6="","",IF(G6="Met",0,IF(G9="Met",0,(F9-F10))))</f>
        <v/>
      </c>
      <c r="G11" s="240" t="str">
        <f>IF(G6="","",IF(G6="Met","",IF(G9="Met","",IF(F11&lt;=0,"Met","Did Not Meet"))))</f>
        <v/>
      </c>
      <c r="H11" s="245" t="str">
        <f>IF(G6="","",IF(G6="Met","Adjustment not needed.",IF(G9="Met","Adjustment not needed.",IF(G11="Met","MOE met using exceptions &amp; adjustment.","Use another method."))))</f>
        <v/>
      </c>
      <c r="I11" s="243" t="s">
        <v>203</v>
      </c>
      <c r="J11" s="244">
        <f>IF(K6="",0,IF(K6="Met",0,IF(K9="Met",0,(J9-J10))))</f>
        <v>0</v>
      </c>
      <c r="K11" s="240" t="str">
        <f>IF(K6="","",IF(K6="Met","",IF(K9="Met","",IF(J11&lt;=0,"Met","Did Not Meet"))))</f>
        <v/>
      </c>
      <c r="L11" s="245" t="str">
        <f>IF(K6="","",IF(K6="Met","Adjustment not needed.",IF(K9="Met","Adjustment not needed.",IF(K11="Met","MOE met using exceptions &amp; adjustment.","Use another method."))))</f>
        <v/>
      </c>
      <c r="M11" s="243" t="s">
        <v>203</v>
      </c>
      <c r="N11" s="244">
        <f>IF(O6="",0,IF(O6="Met",0,IF(O9="Met",0,(N9-N10))))</f>
        <v>0</v>
      </c>
      <c r="O11" s="240" t="str">
        <f>IF(O6="","",IF(O6="Met","",IF(O9="Met","",IF(N11&lt;=0,"Met","Did Not Meet"))))</f>
        <v/>
      </c>
      <c r="P11" s="245" t="str">
        <f>IF(O6="","",IF(O6="Met","Adjustment not needed.",IF(O9="Met","Adjustment not needed.",IF(O11="Met","MOE met using exceptions &amp; adjustment.","Use another method."))))</f>
        <v/>
      </c>
    </row>
    <row r="12" spans="1:16" ht="16.5" thickBot="1" x14ac:dyDescent="0.3">
      <c r="A12" s="491" t="s">
        <v>219</v>
      </c>
      <c r="B12" s="491"/>
      <c r="C12" s="491"/>
      <c r="E12" s="491" t="s">
        <v>219</v>
      </c>
      <c r="F12" s="491"/>
      <c r="G12" s="491"/>
      <c r="J12" s="491" t="s">
        <v>219</v>
      </c>
      <c r="K12" s="491"/>
      <c r="M12" s="491" t="s">
        <v>219</v>
      </c>
      <c r="N12" s="491"/>
      <c r="O12" s="491"/>
    </row>
    <row r="13" spans="1:16" ht="18.75" x14ac:dyDescent="0.25">
      <c r="A13" s="246" t="s">
        <v>10</v>
      </c>
      <c r="B13" s="247"/>
      <c r="C13" s="248"/>
      <c r="D13" s="249" t="s">
        <v>47</v>
      </c>
      <c r="E13" s="246" t="s">
        <v>10</v>
      </c>
      <c r="F13" s="247"/>
      <c r="G13" s="248"/>
      <c r="H13" s="249" t="s">
        <v>47</v>
      </c>
      <c r="I13" s="246" t="s">
        <v>10</v>
      </c>
      <c r="J13" s="247"/>
      <c r="K13" s="248"/>
      <c r="L13" s="249" t="s">
        <v>47</v>
      </c>
      <c r="M13" s="246" t="s">
        <v>10</v>
      </c>
      <c r="N13" s="247"/>
      <c r="O13" s="248"/>
      <c r="P13" s="249" t="s">
        <v>47</v>
      </c>
    </row>
    <row r="14" spans="1:16" x14ac:dyDescent="0.25">
      <c r="A14" s="250" t="s">
        <v>35</v>
      </c>
      <c r="B14" s="251"/>
      <c r="C14" s="252"/>
      <c r="D14" s="249" t="s">
        <v>76</v>
      </c>
      <c r="E14" s="250" t="s">
        <v>35</v>
      </c>
      <c r="F14" s="251"/>
      <c r="G14" s="252"/>
      <c r="H14" s="249" t="s">
        <v>76</v>
      </c>
      <c r="I14" s="250" t="s">
        <v>35</v>
      </c>
      <c r="J14" s="251"/>
      <c r="K14" s="252"/>
      <c r="L14" s="249" t="s">
        <v>76</v>
      </c>
      <c r="M14" s="250" t="s">
        <v>35</v>
      </c>
      <c r="N14" s="251"/>
      <c r="O14" s="252"/>
      <c r="P14" s="249" t="s">
        <v>76</v>
      </c>
    </row>
    <row r="15" spans="1:16" x14ac:dyDescent="0.25">
      <c r="A15" s="253" t="s">
        <v>36</v>
      </c>
      <c r="B15" s="251"/>
      <c r="C15" s="252"/>
      <c r="D15" s="249" t="s">
        <v>48</v>
      </c>
      <c r="E15" s="253" t="s">
        <v>36</v>
      </c>
      <c r="F15" s="251"/>
      <c r="G15" s="252"/>
      <c r="H15" s="249" t="s">
        <v>48</v>
      </c>
      <c r="I15" s="253" t="s">
        <v>36</v>
      </c>
      <c r="J15" s="251"/>
      <c r="K15" s="252"/>
      <c r="L15" s="249" t="s">
        <v>48</v>
      </c>
      <c r="M15" s="253" t="s">
        <v>36</v>
      </c>
      <c r="N15" s="251"/>
      <c r="O15" s="252"/>
      <c r="P15" s="249" t="s">
        <v>48</v>
      </c>
    </row>
    <row r="16" spans="1:16" x14ac:dyDescent="0.25">
      <c r="A16" s="281" t="s">
        <v>74</v>
      </c>
      <c r="B16" s="255" t="s">
        <v>75</v>
      </c>
      <c r="C16" s="252"/>
      <c r="D16" s="256"/>
      <c r="E16" s="254" t="s">
        <v>74</v>
      </c>
      <c r="F16" s="255" t="s">
        <v>75</v>
      </c>
      <c r="G16" s="252"/>
      <c r="H16" s="256"/>
      <c r="I16" s="254" t="s">
        <v>74</v>
      </c>
      <c r="J16" s="255" t="s">
        <v>75</v>
      </c>
      <c r="K16" s="252"/>
      <c r="L16" s="256"/>
      <c r="M16" s="254" t="s">
        <v>74</v>
      </c>
      <c r="N16" s="255" t="s">
        <v>75</v>
      </c>
      <c r="O16" s="252"/>
      <c r="P16" s="256"/>
    </row>
    <row r="17" spans="1:16" x14ac:dyDescent="0.25">
      <c r="A17" s="388" t="str">
        <f>IF(C$6="Met","","2019-20 Total")</f>
        <v>2019-20 Total</v>
      </c>
      <c r="B17" s="258">
        <f>IF(A17="","",IF($B$1="Eligibility",IF('19. 19-20 Exc &amp; Adj'!$F$21&lt;0,0,'19. 19-20 Exc &amp; Adj'!$F$21),IF($B$1="Compliance",IF('19. 19-20 Exc &amp; Adj'!$M$21&lt;0,0,'19. 19-20 Exc &amp; Adj'!$M$21))))</f>
        <v>0</v>
      </c>
      <c r="C17" s="252"/>
      <c r="D17" s="256"/>
      <c r="E17" s="257" t="str">
        <f>IF(G$6="Met","","2019-20 Total")</f>
        <v>2019-20 Total</v>
      </c>
      <c r="F17" s="258">
        <f>IF(E17="","",IF($B$1="Eligibility",IF('19. 19-20 Exc &amp; Adj'!$F$21&lt;0,0,'19. 19-20 Exc &amp; Adj'!$F$21),IF($B$1="Compliance",IF('19. 19-20 Exc &amp; Adj'!$M$21&lt;0,0,'19. 19-20 Exc &amp; Adj'!$M$21))))</f>
        <v>0</v>
      </c>
      <c r="G17" s="252"/>
      <c r="H17" s="256"/>
      <c r="I17" s="257" t="str">
        <f>IF(K$6="Met","","2019-20 Total")</f>
        <v>2019-20 Total</v>
      </c>
      <c r="J17" s="258">
        <f>IF(I17="","",IF($B$1="Eligibility",IF('19. 19-20 Exc &amp; Adj'!$F$21&lt;0,0,'19. 19-20 Exc &amp; Adj'!$F$21),IF($B$1="Compliance",IF('19. 19-20 Exc &amp; Adj'!$M$21&lt;0,0,'19. 19-20 Exc &amp; Adj'!$M$21))))</f>
        <v>0</v>
      </c>
      <c r="K17" s="252"/>
      <c r="L17" s="256"/>
      <c r="M17" s="257" t="str">
        <f>IF(O$6="Met","","2019-20 Total")</f>
        <v>2019-20 Total</v>
      </c>
      <c r="N17" s="258">
        <f>IF(M17="","",IF($B$1="Eligibility",IF('19. 19-20 Exc &amp; Adj'!$F$21&lt;0,0,'19. 19-20 Exc &amp; Adj'!$F$21),IF($B$1="Compliance",IF('19. 19-20 Exc &amp; Adj'!$M$21&lt;0,0,'19. 19-20 Exc &amp; Adj'!$M$21))))</f>
        <v>0</v>
      </c>
      <c r="O17" s="252"/>
      <c r="P17" s="256"/>
    </row>
    <row r="18" spans="1:16" x14ac:dyDescent="0.25">
      <c r="A18" s="388" t="str">
        <f>IF(C$6="Met","",IF(B$4="2018-2019","","2018-19 Total"))</f>
        <v>2018-19 Total</v>
      </c>
      <c r="B18" s="258">
        <f>IF(A18="","",IF($B$1="Eligibility",IF('16. 18-19 Exc &amp; Adj'!$F$21&lt;0,0,'16. 18-19 Exc &amp; Adj'!$F$21),IF($B$1="Compliance",IF('16. 18-19 Exc &amp; Adj'!$M$21&lt;0,0,'16. 18-19 Exc &amp; Adj'!$M$21))))</f>
        <v>0</v>
      </c>
      <c r="C18" s="252"/>
      <c r="D18" s="256"/>
      <c r="E18" s="257" t="str">
        <f>IF(G$6="Met","",IF(F$4="2018-2019","","2018-19 Total"))</f>
        <v>2018-19 Total</v>
      </c>
      <c r="F18" s="258">
        <f>IF(E18="","",IF($B$1="Eligibility",IF('16. 18-19 Exc &amp; Adj'!$F$21&lt;0,0,'16. 18-19 Exc &amp; Adj'!$F$21),IF($B$1="Compliance",IF('16. 18-19 Exc &amp; Adj'!$M$21&lt;0,0,'16. 18-19 Exc &amp; Adj'!$M$21))))</f>
        <v>0</v>
      </c>
      <c r="G18" s="252"/>
      <c r="H18" s="256"/>
      <c r="I18" s="257" t="str">
        <f>IF(K$6="Met","",IF(J$4="2018-2019","","2018-19 Total"))</f>
        <v>2018-19 Total</v>
      </c>
      <c r="J18" s="258">
        <f>IF(I18="","",IF($B$1="Eligibility",IF('16. 18-19 Exc &amp; Adj'!$F$21&lt;0,0,'16. 18-19 Exc &amp; Adj'!$F$21),IF($B$1="Compliance",IF('16. 18-19 Exc &amp; Adj'!$M$21&lt;0,0,'16. 18-19 Exc &amp; Adj'!$M$21))))</f>
        <v>0</v>
      </c>
      <c r="K18" s="252"/>
      <c r="L18" s="256"/>
      <c r="M18" s="257" t="str">
        <f>IF(O$6="Met","",IF(N$4="2018-2019","","2018-19 Total"))</f>
        <v>2018-19 Total</v>
      </c>
      <c r="N18" s="258">
        <f>IF(M18="","",IF($B$1="Eligibility",IF('16. 18-19 Exc &amp; Adj'!$F$21&lt;0,0,'16. 18-19 Exc &amp; Adj'!$F$21),IF($B$1="Compliance",IF('16. 18-19 Exc &amp; Adj'!$M$21&lt;0,0,'16. 18-19 Exc &amp; Adj'!$M$21))))</f>
        <v>0</v>
      </c>
      <c r="O18" s="252"/>
      <c r="P18" s="256"/>
    </row>
    <row r="19" spans="1:16" x14ac:dyDescent="0.25">
      <c r="A19" s="388" t="str">
        <f>IF(C$6="Met","",IF(OR(B$4="2018-2019",B$4="2017-2018"),"","2017-18 Total"))</f>
        <v>2017-18 Total</v>
      </c>
      <c r="B19" s="258">
        <f>IF(A19="","",IF('13. 17-18 Exc &amp; Adj'!$M$21&lt;0,0,'13. 17-18 Exc &amp; Adj'!$M$21))</f>
        <v>0</v>
      </c>
      <c r="C19" s="252"/>
      <c r="D19" s="256"/>
      <c r="E19" s="257" t="str">
        <f>IF(G$6="Met","",IF(OR(F$4="2018-2019",F$4="2017-2018"),"","2017-18 Total"))</f>
        <v>2017-18 Total</v>
      </c>
      <c r="F19" s="258">
        <f>IF(E19="","",IF('13. 17-18 Exc &amp; Adj'!$M$21&lt;0,0,'13. 17-18 Exc &amp; Adj'!$M$21))</f>
        <v>0</v>
      </c>
      <c r="G19" s="252"/>
      <c r="H19" s="256"/>
      <c r="I19" s="257" t="str">
        <f>IF(K$6="Met","",IF(OR(J$4="2018-2019",J$4="2017-2018"),"","2017-18 Total"))</f>
        <v>2017-18 Total</v>
      </c>
      <c r="J19" s="258">
        <f>IF(I19="","",IF('13. 17-18 Exc &amp; Adj'!$M$21&lt;0,0,'13. 17-18 Exc &amp; Adj'!$M$21))</f>
        <v>0</v>
      </c>
      <c r="K19" s="252"/>
      <c r="L19" s="256"/>
      <c r="M19" s="257" t="str">
        <f>IF(O$6="Met","",IF(OR(N$4="2018-2019",N$4="2017-2018"),"","2017-18 Total"))</f>
        <v>2017-18 Total</v>
      </c>
      <c r="N19" s="258">
        <f>IF(M19="","",IF('13. 17-18 Exc &amp; Adj'!$M$21&lt;0,0,'13. 17-18 Exc &amp; Adj'!$M$21))</f>
        <v>0</v>
      </c>
      <c r="O19" s="252"/>
      <c r="P19" s="256"/>
    </row>
    <row r="20" spans="1:16" x14ac:dyDescent="0.25">
      <c r="A20" s="388" t="str">
        <f>IF(C$6="Met","",IF(OR(B$4="2018-2019",B$4="2017-2018",B$4="2016-2017"),"","2016-17 Total"))</f>
        <v>2016-17 Total</v>
      </c>
      <c r="B20" s="258">
        <f>IF(A20="","",IF('10. 16-17 Exc &amp; Adj'!$M$21&lt;0,0,'10. 16-17 Exc &amp; Adj'!$M$21))</f>
        <v>0</v>
      </c>
      <c r="C20" s="252"/>
      <c r="D20" s="256"/>
      <c r="E20" s="257" t="str">
        <f>IF(G$6="Met","",IF(OR(F$4="2018-2019",F$4="2017-2018",F$4="2016-2017"),"","2016-17 Total"))</f>
        <v>2016-17 Total</v>
      </c>
      <c r="F20" s="258">
        <f>IF(E20="","",IF('10. 16-17 Exc &amp; Adj'!$M$21&lt;0,0,'10. 16-17 Exc &amp; Adj'!$M$21))</f>
        <v>0</v>
      </c>
      <c r="G20" s="252"/>
      <c r="H20" s="256"/>
      <c r="I20" s="257" t="str">
        <f>IF(K$6="Met","",IF(OR(J$4="2018-2019",J$4="2017-2018",J$4="2016-2017"),"","2016-17 Total"))</f>
        <v>2016-17 Total</v>
      </c>
      <c r="J20" s="258">
        <f>IF(I20="","",IF('10. 16-17 Exc &amp; Adj'!$M$21&lt;0,0,'10. 16-17 Exc &amp; Adj'!$M$21))</f>
        <v>0</v>
      </c>
      <c r="K20" s="252"/>
      <c r="L20" s="256"/>
      <c r="M20" s="257" t="str">
        <f>IF(O$6="Met","",IF(OR(N$4="2018-2019",N$4="2017-2018",N$4="2016-2017"),"","2016-17 Total"))</f>
        <v>2016-17 Total</v>
      </c>
      <c r="N20" s="258">
        <f>IF(M20="","",IF('10. 16-17 Exc &amp; Adj'!$M$21&lt;0,0,'10. 16-17 Exc &amp; Adj'!$M$21))</f>
        <v>0</v>
      </c>
      <c r="O20" s="252"/>
      <c r="P20" s="256"/>
    </row>
    <row r="21" spans="1:16" x14ac:dyDescent="0.25">
      <c r="A21" s="388" t="str">
        <f>IF(C$6="Met","",IF(OR(B$4="2018-2019",B$4="2017-2018",B$4="2016-2017",B$4="2015-2016"),"","2015-16 Total"))</f>
        <v>2015-16 Total</v>
      </c>
      <c r="B21" s="258">
        <f>IF(A21="","",IF('7. 15-16 Exc &amp; Adj'!$M$21&lt;0,0,'7. 15-16 Exc &amp; Adj'!$M$21))</f>
        <v>0</v>
      </c>
      <c r="C21" s="252"/>
      <c r="D21" s="256"/>
      <c r="E21" s="257" t="str">
        <f>IF(G$6="Met","",IF(OR(F$4="2018-2019",F$4="2017-2018",F$4="2016-2017",F$4="2015-2016"),"","2015-16 Total"))</f>
        <v>2015-16 Total</v>
      </c>
      <c r="F21" s="258">
        <f>IF(E21="","",IF('7. 15-16 Exc &amp; Adj'!$M$21&lt;0,0,'7. 15-16 Exc &amp; Adj'!$M$21))</f>
        <v>0</v>
      </c>
      <c r="G21" s="252"/>
      <c r="H21" s="256"/>
      <c r="I21" s="257" t="str">
        <f>IF(K$6="Met","",IF(OR(J$4="2018-2019",J$4="2017-2018",J$4="2016-2017",J$4="2015-2016"),"","2015-16 Total"))</f>
        <v>2015-16 Total</v>
      </c>
      <c r="J21" s="258">
        <f>IF(I21="","",IF('7. 15-16 Exc &amp; Adj'!$M$21&lt;0,0,'7. 15-16 Exc &amp; Adj'!$M$21))</f>
        <v>0</v>
      </c>
      <c r="K21" s="252"/>
      <c r="L21" s="256"/>
      <c r="M21" s="257" t="str">
        <f>IF(O$6="Met","",IF(OR(N$4="2018-2019",N$4="2017-2018",N$4="2016-2017",N$4="2015-2016"),"","2015-16 Total"))</f>
        <v>2015-16 Total</v>
      </c>
      <c r="N21" s="258">
        <f>IF(M21="","",IF('7. 15-16 Exc &amp; Adj'!$M$21&lt;0,0,'7. 15-16 Exc &amp; Adj'!$M$21))</f>
        <v>0</v>
      </c>
      <c r="O21" s="252"/>
      <c r="P21" s="256"/>
    </row>
    <row r="22" spans="1:16" x14ac:dyDescent="0.25">
      <c r="A22" s="388" t="str">
        <f>IF(C$6="Met","",IF(OR(B$4="2018-2019",B$4="2017-2018",B$4="2016-2017",B$4="2015-2016",B$4="2014-2015"),"","2014-15 Total"))</f>
        <v>2014-15 Total</v>
      </c>
      <c r="B22" s="258">
        <f>IF(A22="","",IF('23. 14-15 Exc &amp; Adj'!F20&lt;0,0,'23. 14-15 Exc &amp; Adj'!F20))</f>
        <v>0</v>
      </c>
      <c r="C22" s="252"/>
      <c r="D22" s="256"/>
      <c r="E22" s="257" t="str">
        <f>IF(G$6="Met","",IF(OR(F$4="2018-2019",F$4="2017-2018",F$4="2016-2017",F$4="2015-2016",F$4="2014-2015"),"","2014-15 Total"))</f>
        <v>2014-15 Total</v>
      </c>
      <c r="F22" s="258">
        <f>IF(E22="","",IF('23. 14-15 Exc &amp; Adj'!F20&lt;0,0,'23. 14-15 Exc &amp; Adj'!F20))</f>
        <v>0</v>
      </c>
      <c r="G22" s="252"/>
      <c r="H22" s="256"/>
      <c r="I22" s="257" t="str">
        <f>IF(K$6="Met","",IF(OR(J$4="2018-2019",J$4="2017-2018",J$4="2016-2017",J$4="2015-2016",J$4="2014-2015"),"","2014-15 Total"))</f>
        <v>2014-15 Total</v>
      </c>
      <c r="J22" s="258">
        <f>IF(I22="","",IF('23. 14-15 Exc &amp; Adj'!F20&lt;0,0,'23. 14-15 Exc &amp; Adj'!F20))</f>
        <v>0</v>
      </c>
      <c r="K22" s="252"/>
      <c r="L22" s="256"/>
      <c r="M22" s="257" t="str">
        <f>IF(O$6="Met","",IF(OR(N$4="2018-2019",N$4="2017-2018",N$4="2016-2017",N$4="2015-2016",N$4="2014-2015"),"","2014-15 Total"))</f>
        <v>2014-15 Total</v>
      </c>
      <c r="N22" s="258">
        <f>IF(M22="","",IF('23. 14-15 Exc &amp; Adj'!F20&lt;0,0,'23. 14-15 Exc &amp; Adj'!F20))</f>
        <v>0</v>
      </c>
      <c r="O22" s="252"/>
      <c r="P22" s="256"/>
    </row>
    <row r="23" spans="1:16" x14ac:dyDescent="0.25">
      <c r="A23" s="288" t="str">
        <f>IF(C$6="Met","",IF(OR(B$4="2018-2019",B$4="2017-2018",B$4="2016-2017",B$4="2015-2016",B$4="2014-2015",B$4="2013-2014"),"","2013-14 Total"))</f>
        <v>2013-14 Total</v>
      </c>
      <c r="B23" s="258">
        <f>IF(A23="","",IF('22. 13-14 Exc &amp; Adj'!F20&lt;0,0,'22. 13-14 Exc &amp; Adj'!F20))</f>
        <v>0</v>
      </c>
      <c r="C23" s="252"/>
      <c r="D23" s="256"/>
      <c r="E23" s="259" t="str">
        <f>IF(G$6="Met","",IF(OR(F$4="2018-2019",F$4="2017-2018",F$4="2016-2017",F$4="2015-2016",F$4="2014-2015",F$4="2013-2014"),"","2013-14 Total"))</f>
        <v>2013-14 Total</v>
      </c>
      <c r="F23" s="258">
        <f>IF(E23="","",IF('22. 13-14 Exc &amp; Adj'!F20&lt;0,0,'22. 13-14 Exc &amp; Adj'!F20))</f>
        <v>0</v>
      </c>
      <c r="G23" s="252"/>
      <c r="H23" s="256"/>
      <c r="I23" s="259" t="str">
        <f>IF(K$6="Met","",IF(OR(J$4="2018-2019",J$4="2017-2018",J$4="2016-2017",J$4="2015-2016",J$4="2014-2015",J$4="2013-2014"),"","2013-14 Total"))</f>
        <v>2013-14 Total</v>
      </c>
      <c r="J23" s="258">
        <f>IF(I23="","",IF('22. 13-14 Exc &amp; Adj'!F20&lt;0,0,'22. 13-14 Exc &amp; Adj'!F20))</f>
        <v>0</v>
      </c>
      <c r="K23" s="252"/>
      <c r="L23" s="256"/>
      <c r="M23" s="259" t="str">
        <f>IF(O$6="Met","",IF(OR(N$4="2018-2019",N$4="2017-2018",N$4="2016-2017",N$4="2015-2016",N$4="2014-2015",N$4="2013-2014"),"","2013-14 Total"))</f>
        <v>2013-14 Total</v>
      </c>
      <c r="N23" s="258">
        <f>IF(M23="","",IF('22. 13-14 Exc &amp; Adj'!F20&lt;0,0,'22. 13-14 Exc &amp; Adj'!F20))</f>
        <v>0</v>
      </c>
      <c r="O23" s="252"/>
      <c r="P23" s="256"/>
    </row>
    <row r="24" spans="1:16" x14ac:dyDescent="0.25">
      <c r="A24" s="389" t="str">
        <f>IF(C$6="Met","",IF(OR(B$4="2018-2019",B$4="2017-2018",B$4="2016-2017",B$4="2015-2016",B$4="2014-2015",B$4="2013-2014",B$4="2012-2013"),"","2012-13 Total"))</f>
        <v>2012-13 Total</v>
      </c>
      <c r="B24" s="261">
        <f>IF(A24="","",IF('21. 12-13 Exc &amp; Adj'!F20&lt;0,0,'21. 12-13 Exc &amp; Adj'!F20))</f>
        <v>0</v>
      </c>
      <c r="C24" s="252"/>
      <c r="D24" s="256"/>
      <c r="E24" s="260" t="str">
        <f>IF(G$6="Met","",IF(OR(F$4="2018-2019",F$4="2017-2018",F$4="2016-2017",F$4="2015-2016",F$4="2014-2015",F$4="2013-2014",F$4="2012-2013"),"","2012-13 Total"))</f>
        <v>2012-13 Total</v>
      </c>
      <c r="F24" s="261">
        <f>IF(E24="","",IF('21. 12-13 Exc &amp; Adj'!F20&lt;0,0,'21. 12-13 Exc &amp; Adj'!F20))</f>
        <v>0</v>
      </c>
      <c r="G24" s="252"/>
      <c r="H24" s="256"/>
      <c r="I24" s="260" t="str">
        <f>IF(K$6="Met","",IF(OR(J$4="2018-2019",J$4="2017-2018",J$4="2016-2017",J$4="2015-2016",J$4="2014-2015",J$4="2013-2014",J$4="2012-2013"),"","2012-13 Total"))</f>
        <v>2012-13 Total</v>
      </c>
      <c r="J24" s="261">
        <f>IF(I24="","",IF('21. 12-13 Exc &amp; Adj'!F20&lt;0,0,'21. 12-13 Exc &amp; Adj'!F20))</f>
        <v>0</v>
      </c>
      <c r="K24" s="252"/>
      <c r="L24" s="256"/>
      <c r="M24" s="260" t="str">
        <f>IF(O$6="Met","",IF(OR(N$4="2018-2019",N$4="2017-2018",N$4="2016-2017",N$4="2015-2016",N$4="2014-2015",N$4="2013-2014",N$4="2012-2013"),"","2012-13 Total"))</f>
        <v>2012-13 Total</v>
      </c>
      <c r="N24" s="261">
        <f>IF(M24="","",IF('21. 12-13 Exc &amp; Adj'!F20&lt;0,0,'21. 12-13 Exc &amp; Adj'!F20))</f>
        <v>0</v>
      </c>
      <c r="O24" s="252"/>
      <c r="P24" s="256"/>
    </row>
    <row r="25" spans="1:16" x14ac:dyDescent="0.25">
      <c r="A25" s="394" t="str">
        <f>IF(C$6="Met","",IF(OR(B$4="2018-2019",B$4="2017-2018",B$4="2016-2017",B$4="2015-2016",B$4="2014-2015",B$4="2013-2014",B$4="2012-2013",B$4="2011-2012"),"","2011-12 Total"))</f>
        <v>2011-12 Total</v>
      </c>
      <c r="B25" s="386">
        <f>IF(A25="","",IF('20. 11-12 Exc &amp; Adj'!F20&lt;0,0,'20. 11-12 Exc &amp; Adj'!F20))</f>
        <v>0</v>
      </c>
      <c r="C25" s="252"/>
      <c r="D25" s="220"/>
      <c r="E25" s="385" t="str">
        <f>IF(G$6="Met","",IF(OR(F$4="2018-2019",F$4="2017-2018",F$4="2016-2017",F$4="2015-2016",F$4="2014-2015",F$4="2013-2014",F$4="2012-2013",F$4="2011-2012"),"","2011-12 Total"))</f>
        <v>2011-12 Total</v>
      </c>
      <c r="F25" s="386">
        <f>IF(E25="","",IF('20. 11-12 Exc &amp; Adj'!F20&lt;0,0,'20. 11-12 Exc &amp; Adj'!F20))</f>
        <v>0</v>
      </c>
      <c r="G25" s="252"/>
      <c r="H25" s="220"/>
      <c r="I25" s="385" t="str">
        <f>IF(K$6="Met","",IF(OR(J$4="2018-2019",J$4="2017-2018",J$4="2016-2017",J$4="2015-2016",J$4="2014-2015",J$4="2013-2014",J$4="2012-2013",J$4="2011-2012"),"","2011-12 Total"))</f>
        <v>2011-12 Total</v>
      </c>
      <c r="J25" s="386">
        <f>IF(I25="","",IF('20. 11-12 Exc &amp; Adj'!F20&lt;0,0,'20. 11-12 Exc &amp; Adj'!F20))</f>
        <v>0</v>
      </c>
      <c r="K25" s="252"/>
      <c r="M25" s="385" t="str">
        <f>IF(O$6="Met","",IF(OR(N$4="2018-2019",N$4="2017-2018",N$4="2016-2017",N$4="2015-2016",N$4="2014-2015",N$4="2013-2014",N$4="2012-2013",N$4="2011-2012"),"","2011-12 Total"))</f>
        <v>2011-12 Total</v>
      </c>
      <c r="N25" s="386">
        <f>IF(M25="","",IF('20. 11-12 Exc &amp; Adj'!F20&lt;0,0,'20. 11-12 Exc &amp; Adj'!F20))</f>
        <v>0</v>
      </c>
      <c r="O25" s="252"/>
    </row>
    <row r="26" spans="1:16" x14ac:dyDescent="0.25">
      <c r="A26" s="488" t="s">
        <v>219</v>
      </c>
      <c r="B26" s="489"/>
      <c r="C26" s="252"/>
      <c r="E26" s="488" t="s">
        <v>219</v>
      </c>
      <c r="F26" s="489"/>
      <c r="G26" s="252"/>
      <c r="I26" s="488" t="s">
        <v>219</v>
      </c>
      <c r="J26" s="489"/>
      <c r="K26" s="252"/>
      <c r="L26" s="219"/>
      <c r="M26" s="488" t="s">
        <v>219</v>
      </c>
      <c r="N26" s="489"/>
      <c r="O26" s="252"/>
      <c r="P26" s="219"/>
    </row>
    <row r="27" spans="1:16" x14ac:dyDescent="0.25">
      <c r="A27" s="262" t="s">
        <v>13</v>
      </c>
      <c r="B27" s="263"/>
      <c r="C27" s="264"/>
      <c r="D27" s="265"/>
      <c r="E27" s="262" t="s">
        <v>13</v>
      </c>
      <c r="F27" s="263"/>
      <c r="G27" s="264"/>
      <c r="H27" s="265"/>
      <c r="I27" s="262" t="s">
        <v>13</v>
      </c>
      <c r="J27" s="263"/>
      <c r="K27" s="264"/>
      <c r="L27" s="265"/>
      <c r="M27" s="262" t="s">
        <v>13</v>
      </c>
      <c r="N27" s="263"/>
      <c r="O27" s="264"/>
      <c r="P27" s="265"/>
    </row>
    <row r="28" spans="1:16" x14ac:dyDescent="0.25">
      <c r="A28" s="281" t="s">
        <v>74</v>
      </c>
      <c r="B28" s="255" t="s">
        <v>75</v>
      </c>
      <c r="C28" s="264"/>
      <c r="D28" s="265"/>
      <c r="E28" s="254" t="s">
        <v>74</v>
      </c>
      <c r="F28" s="255" t="s">
        <v>75</v>
      </c>
      <c r="G28" s="264"/>
      <c r="H28" s="265"/>
      <c r="I28" s="254" t="s">
        <v>74</v>
      </c>
      <c r="J28" s="255" t="s">
        <v>75</v>
      </c>
      <c r="K28" s="264"/>
      <c r="L28" s="265"/>
      <c r="M28" s="254" t="s">
        <v>74</v>
      </c>
      <c r="N28" s="255" t="s">
        <v>75</v>
      </c>
      <c r="O28" s="264"/>
      <c r="P28" s="265"/>
    </row>
    <row r="29" spans="1:16" x14ac:dyDescent="0.25">
      <c r="A29" s="397" t="str">
        <f>IF(C$6="Met","","2019-20 Total")</f>
        <v>2019-20 Total</v>
      </c>
      <c r="B29" s="258">
        <f>IF(A29="","",IF(AND($B$1="Eligibility",'19. 19-20 Exc &amp; Adj'!$B$31=""),0,(IF(AND($B$1="Eligibility",'19. 19-20 Exc &amp; Adj'!$B$31&gt;=0),"",IF(AND($B$1="Eligibility",'3. Getting Started'!$B$7="No"),'19. 19-20 Exc &amp; Adj'!$B$25,IF(AND($B$1="Eligibility",OR('3. Getting Started'!$B$7="Yes",'3. Getting Started'!$B$7="")),'19. 19-20 Exc &amp; Adj'!$B$35,IF(AND($B$1="Compliance",'19. 19-20 Exc &amp; Adj'!$I$31=""),0,IF(AND($B$1="Compliance",'19. 19-20 Exc &amp; Adj'!$I$31&gt;=0),"",IF(AND($B$1="Compliance",'3. Getting Started'!$B$7="No"),'19. 19-20 Exc &amp; Adj'!$I$25,IF(AND($B$1="Compliance",OR('3. Getting Started'!$B$7="Yes",'3. Getting Started'!$B$7="")),'19. 19-20 Exc &amp; Adj'!$I$35))))))))))</f>
        <v>0</v>
      </c>
      <c r="C29" s="264"/>
      <c r="D29" s="265"/>
      <c r="E29" s="321" t="str">
        <f>IF(G$6="Met","","2019-20 Total")</f>
        <v>2019-20 Total</v>
      </c>
      <c r="F29" s="258">
        <f>IF(E29="","",IF(AND($B$1="Eligibility",'19. 19-20 Exc &amp; Adj'!$B$31=""),0,(IF(AND($B$1="Eligibility",'19. 19-20 Exc &amp; Adj'!$B$31&gt;=0),"",IF(AND($B$1="Eligibility",'3. Getting Started'!$B$7="No"),'19. 19-20 Exc &amp; Adj'!$C$25,IF(AND($B$1="Eligibility",OR('3. Getting Started'!$B$7="Yes",'3. Getting Started'!$B$7="")),'19. 19-20 Exc &amp; Adj'!$C$35,IF(AND($B$1="Compliance",'19. 19-20 Exc &amp; Adj'!$I$31=""),0,IF(AND($B$1="Compliance",'19. 19-20 Exc &amp; Adj'!$I$31&gt;=0),"",IF(AND($B$1="Compliance",'3. Getting Started'!$B$7="No"),'19. 19-20 Exc &amp; Adj'!$J$25,IF(AND($B$1="Compliance",OR('3. Getting Started'!$B$7="Yes",'3. Getting Started'!$B$7="")),'19. 19-20 Exc &amp; Adj'!$J$35))))))))))</f>
        <v>0</v>
      </c>
      <c r="G29" s="264"/>
      <c r="H29" s="265"/>
      <c r="I29" s="321" t="str">
        <f>IF(K$6="Met","","2019-20 Total")</f>
        <v>2019-20 Total</v>
      </c>
      <c r="J29" s="258">
        <f>IF(I29="","",IF(AND($B$1="Eligibility",'19. 19-20 Exc &amp; Adj'!$B$31=""),0,(IF(AND($B$1="Eligibility",'19. 19-20 Exc &amp; Adj'!$B$31&gt;=0),"",IF(AND($B$1="Eligibility",'3. Getting Started'!$B$7="No"),'19. 19-20 Exc &amp; Adj'!$D$25,IF(AND($B$1="Eligibility",OR('3. Getting Started'!$B$7="Yes",'3. Getting Started'!$B$7="")),'19. 19-20 Exc &amp; Adj'!$B$35,IF(AND($B$1="Compliance",'19. 19-20 Exc &amp; Adj'!$I$31=""),0,IF(AND($B$1="Compliance",'19. 19-20 Exc &amp; Adj'!$I$31&gt;=0),"",IF(AND($B$1="Compliance",'3. Getting Started'!$B$7="No"),'19. 19-20 Exc &amp; Adj'!$K$25,IF(AND($B$1="Compliance",OR('3. Getting Started'!$B$7="Yes",'3. Getting Started'!$B$7="")),'19. 19-20 Exc &amp; Adj'!$I$35))))))))))</f>
        <v>0</v>
      </c>
      <c r="K29" s="264"/>
      <c r="L29" s="265"/>
      <c r="M29" s="321" t="str">
        <f>IF(O$6="Met","","2019-20 Total")</f>
        <v>2019-20 Total</v>
      </c>
      <c r="N29" s="258">
        <f>IF(M29="","",IF(AND($B$1="Eligibility",'19. 19-20 Exc &amp; Adj'!$B$31=""),0,(IF(AND($B$1="Eligibility",'19. 19-20 Exc &amp; Adj'!$B$31&gt;=0),"",IF(AND($B$1="Eligibility",'3. Getting Started'!$B$7="No"),'19. 19-20 Exc &amp; Adj'!$E$25,IF(AND($B$1="Eligibility",OR('3. Getting Started'!$B$7="Yes",'3. Getting Started'!$B$7="")),'19. 19-20 Exc &amp; Adj'!$C$35,IF(AND($B$1="Compliance",'19. 19-20 Exc &amp; Adj'!$I$31=""),0,IF(AND($B$1="Compliance",'19. 19-20 Exc &amp; Adj'!$I$31&gt;=0),"",IF(AND($B$1="Compliance",'3. Getting Started'!$B$7="No"),'19. 19-20 Exc &amp; Adj'!$L$25,IF(AND($B$1="Compliance",OR('3. Getting Started'!$B$7="Yes",'3. Getting Started'!$B$7="")),'19. 19-20 Exc &amp; Adj'!$J$35))))))))))</f>
        <v>0</v>
      </c>
      <c r="O29" s="264"/>
      <c r="P29" s="265"/>
    </row>
    <row r="30" spans="1:16" x14ac:dyDescent="0.25">
      <c r="A30" s="397" t="str">
        <f>IF(C$6="Met","",IF(B$4="2018-2019","","2018-19 Total"))</f>
        <v>2018-19 Total</v>
      </c>
      <c r="B30" s="258">
        <f>IF(A30="","",IF(AND($B$1="Eligibility",'16. 18-19 Exc &amp; Adj'!$B$31=""),0,(IF(AND($B$1="Eligibility",'16. 18-19 Exc &amp; Adj'!$B$31&gt;=0),"",IF(AND($B$1="Eligibility",'3. Getting Started'!$B$7="No"),'16. 18-19 Exc &amp; Adj'!$B$25,IF(AND($B$1="Eligibility",OR('3. Getting Started'!$B$7="Yes",'3. Getting Started'!$B$7="")),'16. 18-19 Exc &amp; Adj'!$B$35,IF(AND($B$1="Compliance",'16. 18-19 Exc &amp; Adj'!$I$31=""),0,IF(AND($B$1="Compliance",'16. 18-19 Exc &amp; Adj'!$I$31&gt;=0),"",IF(AND($B$1="Compliance",'3. Getting Started'!$B$7="No"),'16. 18-19 Exc &amp; Adj'!$I$25,IF(AND($B$1="Compliance",OR('3. Getting Started'!$B$7="Yes",'3. Getting Started'!$B$7="")),'16. 18-19 Exc &amp; Adj'!$I$35))))))))))</f>
        <v>0</v>
      </c>
      <c r="C30" s="264"/>
      <c r="D30" s="265"/>
      <c r="E30" s="321" t="str">
        <f>IF(G$6="Met","",IF(F$4="2018-2019","","2018-19 Total"))</f>
        <v>2018-19 Total</v>
      </c>
      <c r="F30" s="258">
        <f>IF(E30="","",IF(AND($B$1="Eligibility",'16. 18-19 Exc &amp; Adj'!$B$31=""),0,(IF(AND($B$1="Eligibility",'16. 18-19 Exc &amp; Adj'!$B$31&gt;=0),"",IF(AND($B$1="Eligibility",'3. Getting Started'!$B$7="No"),'16. 18-19 Exc &amp; Adj'!$C$25,IF(AND($B$1="Eligibility",OR('3. Getting Started'!$B$7="Yes",'3. Getting Started'!$B$7="")),'16. 18-19 Exc &amp; Adj'!$C$35,IF(AND($B$1="Compliance",'16. 18-19 Exc &amp; Adj'!$I$31=""),0,IF(AND($B$1="Compliance",'16. 18-19 Exc &amp; Adj'!$I$31&gt;=0),"",IF(AND($B$1="Compliance",'3. Getting Started'!$B$7="No"),'16. 18-19 Exc &amp; Adj'!$J$25,IF(AND($B$1="Compliance",OR('3. Getting Started'!$B$7="Yes",'3. Getting Started'!$B$7="")),'16. 18-19 Exc &amp; Adj'!$J$35))))))))))</f>
        <v>0</v>
      </c>
      <c r="G30" s="264"/>
      <c r="H30" s="265"/>
      <c r="I30" s="321" t="str">
        <f>IF(K$6="Met","",IF(J$4="2018-2019","","2018-19 Total"))</f>
        <v>2018-19 Total</v>
      </c>
      <c r="J30" s="258">
        <f>IF(I30="","",IF(AND($B$1="Eligibility",'16. 18-19 Exc &amp; Adj'!$B$31=""),0,(IF(AND($B$1="Eligibility",'16. 18-19 Exc &amp; Adj'!$B$31&gt;=0),"",IF(AND($B$1="Eligibility",'3. Getting Started'!$B$7="No"),'16. 18-19 Exc &amp; Adj'!$D$25,IF(AND($B$1="Eligibility",OR('3. Getting Started'!$B$7="Yes",'3. Getting Started'!$B$7="")),'16. 18-19 Exc &amp; Adj'!$B$35,IF(AND($B$1="Compliance",'16. 18-19 Exc &amp; Adj'!$I$31=""),0,IF(AND($B$1="Compliance",'16. 18-19 Exc &amp; Adj'!$I$31&gt;=0),"",IF(AND($B$1="Compliance",'3. Getting Started'!$B$7="No"),'16. 18-19 Exc &amp; Adj'!$K$25,IF(AND($B$1="Compliance",OR('3. Getting Started'!$B$7="Yes",'3. Getting Started'!$B$7="")),'16. 18-19 Exc &amp; Adj'!$I$35))))))))))</f>
        <v>0</v>
      </c>
      <c r="K30" s="264"/>
      <c r="L30" s="265"/>
      <c r="M30" s="321" t="str">
        <f>IF(O$6="Met","",IF(N$4="2018-2019","","2018-19 Total"))</f>
        <v>2018-19 Total</v>
      </c>
      <c r="N30" s="258">
        <f>IF(M30="","",IF(AND($B$1="Eligibility",'16. 18-19 Exc &amp; Adj'!$B$31=""),0,(IF(AND($B$1="Eligibility",'16. 18-19 Exc &amp; Adj'!$B$31&gt;=0),"",IF(AND($B$1="Eligibility",'3. Getting Started'!$B$7="No"),'16. 18-19 Exc &amp; Adj'!$E$25,IF(AND($B$1="Eligibility",OR('3. Getting Started'!$B$7="Yes",'3. Getting Started'!$B$7="")),'16. 18-19 Exc &amp; Adj'!$C$35,IF(AND($B$1="Compliance",'16. 18-19 Exc &amp; Adj'!$I$31=""),0,IF(AND($B$1="Compliance",'16. 18-19 Exc &amp; Adj'!$I$31&gt;=0),"",IF(AND($B$1="Compliance",'3. Getting Started'!$B$7="No"),'16. 18-19 Exc &amp; Adj'!$L$25,IF(AND($B$1="Compliance",OR('3. Getting Started'!$B$7="Yes",'3. Getting Started'!$B$7="")),'16. 18-19 Exc &amp; Adj'!$J$35))))))))))</f>
        <v>0</v>
      </c>
      <c r="O30" s="264"/>
      <c r="P30" s="265"/>
    </row>
    <row r="31" spans="1:16" x14ac:dyDescent="0.25">
      <c r="A31" s="388" t="str">
        <f>IF(C$6="Met","",IF(OR(B$4="2018-2019",B$4="2017-2018"),"","2017-18 Total"))</f>
        <v>2017-18 Total</v>
      </c>
      <c r="B31" s="258">
        <f>IF(A31="","",IF('13. 17-18 Exc &amp; Adj'!$I$31="",0,IF('13. 17-18 Exc &amp; Adj'!$I$31&gt;=0,"",IF('3. Getting Started'!$B$7="No",'13. 17-18 Exc &amp; Adj'!$I$25,IF(OR('3. Getting Started'!$B$7="Yes",'3. Getting Started'!$B$7=""),'13. 17-18 Exc &amp; Adj'!$I$35)))))</f>
        <v>0</v>
      </c>
      <c r="C31" s="264"/>
      <c r="D31" s="311"/>
      <c r="E31" s="257" t="str">
        <f>IF(G$6="Met","",IF(OR(F$4="2018-2019",F$4="2017-2018"),"","2017-18 Total"))</f>
        <v>2017-18 Total</v>
      </c>
      <c r="F31" s="258">
        <f>IF(E31="","",IF('13. 17-18 Exc &amp; Adj'!$I$31="",0,IF('13. 17-18 Exc &amp; Adj'!$I$31&gt;=0,"",IF('3. Getting Started'!$B$7="No",'13. 17-18 Exc &amp; Adj'!$J$25,IF(OR('3. Getting Started'!$B$7="Yes",'3. Getting Started'!$B$7=""),'13. 17-18 Exc &amp; Adj'!$J$35)))))</f>
        <v>0</v>
      </c>
      <c r="G31" s="264"/>
      <c r="H31" s="220"/>
      <c r="I31" s="257" t="str">
        <f>IF(K$6="Met","",IF(OR(J$4="2018-2019",J$4="2017-2018"),"","2017-18 Total"))</f>
        <v>2017-18 Total</v>
      </c>
      <c r="J31" s="258">
        <f>IF(I31="","",IF('13. 17-18 Exc &amp; Adj'!$I$31="",0,IF('13. 17-18 Exc &amp; Adj'!$I$31&gt;=0,"",IF('3. Getting Started'!$B$7="No",'13. 17-18 Exc &amp; Adj'!$K$25,IF(OR('3. Getting Started'!$B$7="Yes",'3. Getting Started'!$B$7=""),'13. 17-18 Exc &amp; Adj'!$I$35)))))</f>
        <v>0</v>
      </c>
      <c r="K31" s="264"/>
      <c r="M31" s="257" t="str">
        <f>IF(O$6="Met","",IF(OR(N$4="2018-2019",N$4="2017-2018"),"","2017-18 Total"))</f>
        <v>2017-18 Total</v>
      </c>
      <c r="N31" s="258">
        <f>IF(M31="","",IF('13. 17-18 Exc &amp; Adj'!$I$31="",0,IF('13. 17-18 Exc &amp; Adj'!$I$31&gt;=0,"",IF('3. Getting Started'!$B$7="No",'13. 17-18 Exc &amp; Adj'!$L$25,IF(OR('3. Getting Started'!$B$7="Yes",'3. Getting Started'!$B$7=""),'13. 17-18 Exc &amp; Adj'!$J$35)))))</f>
        <v>0</v>
      </c>
      <c r="O31" s="264"/>
    </row>
    <row r="32" spans="1:16" x14ac:dyDescent="0.25">
      <c r="A32" s="388" t="str">
        <f>IF(C$6="Met","",IF(OR(B$4="2018-2019",B$4="2017-2018",B$4="2016-2017"),"","2016-17 Total"))</f>
        <v>2016-17 Total</v>
      </c>
      <c r="B32" s="258">
        <f>IF(A32="","",IF('10. 16-17 Exc &amp; Adj'!$I$31="",0,IF('10. 16-17 Exc &amp; Adj'!$I$31&gt;=0,"",IF('3. Getting Started'!$B$7="No",'10. 16-17 Exc &amp; Adj'!$I$25,IF(OR('3. Getting Started'!$B$7="Yes",'3. Getting Started'!$B$7=""),'10. 16-17 Exc &amp; Adj'!$I$35)))))</f>
        <v>0</v>
      </c>
      <c r="C32" s="264"/>
      <c r="D32" s="220"/>
      <c r="E32" s="257" t="str">
        <f>IF(G$6="Met","",IF(OR(F$4="2018-2019",F$4="2017-2018",F$4="2016-2017"),"","2016-17 Total"))</f>
        <v>2016-17 Total</v>
      </c>
      <c r="F32" s="258">
        <f>IF(E32="","",IF('10. 16-17 Exc &amp; Adj'!$I$31="",0,IF('10. 16-17 Exc &amp; Adj'!$I$31&gt;=0,"",IF('3. Getting Started'!$B$7="No",'10. 16-17 Exc &amp; Adj'!$J$25,IF(OR('3. Getting Started'!$B$7="Yes",'3. Getting Started'!$B$7=""),'10. 16-17 Exc &amp; Adj'!$J$35)))))</f>
        <v>0</v>
      </c>
      <c r="G32" s="264"/>
      <c r="H32" s="220"/>
      <c r="I32" s="257" t="str">
        <f>IF(K$6="Met","",IF(OR(J$4="2018-2019",J$4="2017-2018",J$4="2016-2017"),"","2016-17 Total"))</f>
        <v>2016-17 Total</v>
      </c>
      <c r="J32" s="258">
        <f>IF(I32="","",IF('10. 16-17 Exc &amp; Adj'!$I$31="",0,IF('10. 16-17 Exc &amp; Adj'!$I$31&gt;=0,"",IF('3. Getting Started'!$B$7="No",'10. 16-17 Exc &amp; Adj'!$K$25,IF(OR('3. Getting Started'!$B$7="Yes",'3. Getting Started'!$B$7=""),'10. 16-17 Exc &amp; Adj'!$I$35)))))</f>
        <v>0</v>
      </c>
      <c r="K32" s="264"/>
      <c r="M32" s="257" t="str">
        <f>IF(O$6="Met","",IF(OR(N$4="2018-2019",N$4="2017-2018",N$4="2016-2017"),"","2016-17 Total"))</f>
        <v>2016-17 Total</v>
      </c>
      <c r="N32" s="258">
        <f>IF(M32="","",IF('10. 16-17 Exc &amp; Adj'!$I$31="",0,IF('10. 16-17 Exc &amp; Adj'!$I$31&gt;=0,"",IF('3. Getting Started'!$B$7="No",'10. 16-17 Exc &amp; Adj'!$L$25,IF(OR('3. Getting Started'!$B$7="Yes",'3. Getting Started'!$B$7=""),'10. 16-17 Exc &amp; Adj'!$J$35)))))</f>
        <v>0</v>
      </c>
      <c r="O32" s="264"/>
    </row>
    <row r="33" spans="1:16" x14ac:dyDescent="0.25">
      <c r="A33" s="388" t="str">
        <f>IF(C$6="Met","",IF(OR(B$4="2018-2019",B$4="2017-2018",B$4="2016-2017",B$4="2015-2016"),"","2015-16 Total"))</f>
        <v>2015-16 Total</v>
      </c>
      <c r="B33" s="258">
        <f>IF(A33="","",IF('7. 15-16 Exc &amp; Adj'!$I$31="",0,IF('7. 15-16 Exc &amp; Adj'!$I$31&gt;=0,"",IF('3. Getting Started'!$B$7="No",'7. 15-16 Exc &amp; Adj'!$I$25,IF(OR('3. Getting Started'!$B$7="Yes",'3. Getting Started'!$B$7=""),'7. 15-16 Exc &amp; Adj'!$I$35)))))</f>
        <v>0</v>
      </c>
      <c r="C33" s="264"/>
      <c r="D33" s="220"/>
      <c r="E33" s="257" t="str">
        <f>IF(G$6="Met","",IF(OR(F$4="2018-2019",F$4="2017-2018",F$4="2016-2017",F$4="2015-2016"),"","2015-16 Total"))</f>
        <v>2015-16 Total</v>
      </c>
      <c r="F33" s="258">
        <f>IF(E33="","",IF('7. 15-16 Exc &amp; Adj'!$I$31="",0,IF('7. 15-16 Exc &amp; Adj'!$I$31&gt;=0,"",IF('3. Getting Started'!$B$7="No",'7. 15-16 Exc &amp; Adj'!$J$25,IF(OR('3. Getting Started'!$B$7="Yes",'3. Getting Started'!$B$7=""),'7. 15-16 Exc &amp; Adj'!$J$35)))))</f>
        <v>0</v>
      </c>
      <c r="G33" s="264"/>
      <c r="H33" s="220"/>
      <c r="I33" s="257" t="str">
        <f>IF(K$6="Met","",IF(OR(J$4="2018-2019",J$4="2017-2018",J$4="2016-2017",J$4="2015-2016"),"","2015-16 Total"))</f>
        <v>2015-16 Total</v>
      </c>
      <c r="J33" s="258">
        <f>IF(I33="","",IF('7. 15-16 Exc &amp; Adj'!$I$31="",0,IF('7. 15-16 Exc &amp; Adj'!$I$31&gt;=0,"",IF('3. Getting Started'!$B$7="No",'7. 15-16 Exc &amp; Adj'!$K$25,IF(OR('3. Getting Started'!$B$7="Yes",'3. Getting Started'!$B$7=""),'7. 15-16 Exc &amp; Adj'!$I$35)))))</f>
        <v>0</v>
      </c>
      <c r="K33" s="264"/>
      <c r="M33" s="257" t="str">
        <f>IF(O$6="Met","",IF(OR(N$4="2018-2019",N$4="2017-2018",N$4="2016-2017",N$4="2015-2016"),"","2015-16 Total"))</f>
        <v>2015-16 Total</v>
      </c>
      <c r="N33" s="258">
        <f>IF(M33="","",IF('7. 15-16 Exc &amp; Adj'!$I$31="",0,IF('7. 15-16 Exc &amp; Adj'!$I$31&gt;=0,"",IF('3. Getting Started'!$B$7="No",'7. 15-16 Exc &amp; Adj'!$L$25,IF(OR('3. Getting Started'!$B$7="Yes",'3. Getting Started'!$B$7=""),'7. 15-16 Exc &amp; Adj'!$J$35)))))</f>
        <v>0</v>
      </c>
      <c r="O33" s="264"/>
    </row>
    <row r="34" spans="1:16" x14ac:dyDescent="0.25">
      <c r="A34" s="388" t="str">
        <f>IF(C$6="Met","",IF(OR(B$4="2018-2019",B$4="2017-2018",B$4="2016-2017",B$4="2015-2016",B$4="2014-2015"),"","2014-15 Total"))</f>
        <v>2014-15 Total</v>
      </c>
      <c r="B34" s="258">
        <f>IF(A34="","",IF('23. 14-15 Exc &amp; Adj'!$B$30="",0,(IF('23. 14-15 Exc &amp; Adj'!$B$30&gt;=0,"",IF('3. Getting Started'!$B$7="No",'23. 14-15 Exc &amp; Adj'!B$24,'23. 14-15 Exc &amp; Adj'!B$34)))))</f>
        <v>0</v>
      </c>
      <c r="C34" s="264"/>
      <c r="D34" s="265"/>
      <c r="E34" s="257" t="str">
        <f>IF(G$6="Met","",IF(OR(F$4="2018-2019",F$4="2017-2018",F$4="2016-2017",F$4="2015-2016",F$4="2014-2015"),"","2014-15 Total"))</f>
        <v>2014-15 Total</v>
      </c>
      <c r="F34" s="258">
        <f>IF(E34="","",IF('23. 14-15 Exc &amp; Adj'!$B$30="",0,IF('23. 14-15 Exc &amp; Adj'!B30&gt;=0,"",IF('3. Getting Started'!B7="No",'23. 14-15 Exc &amp; Adj'!C24,'23. 14-15 Exc &amp; Adj'!C34))))</f>
        <v>0</v>
      </c>
      <c r="G34" s="264"/>
      <c r="H34" s="265"/>
      <c r="I34" s="257" t="str">
        <f>IF(K$6="Met","",IF(OR(J$4="2018-2019",J$4="2017-2018",J$4="2016-2017",J$4="2015-2016",J$4="2014-2015"),"","2014-15 Total"))</f>
        <v>2014-15 Total</v>
      </c>
      <c r="J34" s="258">
        <f>IF(I34="","",IF('23. 14-15 Exc &amp; Adj'!$B$30="",0,IF('23. 14-15 Exc &amp; Adj'!B30&gt;=0,"",IF('3. Getting Started'!B7="No",'23. 14-15 Exc &amp; Adj'!D24,'23. 14-15 Exc &amp; Adj'!B34))))</f>
        <v>0</v>
      </c>
      <c r="K34" s="264"/>
      <c r="L34" s="265"/>
      <c r="M34" s="257" t="str">
        <f>IF(O$6="Met","",IF(OR(N$4="2018-2019",N$4="2017-2018",N$4="2016-2017",N$4="2015-2016",N$4="2014-2015"),"","2014-15 Total"))</f>
        <v>2014-15 Total</v>
      </c>
      <c r="N34" s="258">
        <f>IF(M34="","",IF('23. 14-15 Exc &amp; Adj'!$B$30="",0,IF('23. 14-15 Exc &amp; Adj'!B30&gt;=0,"",IF('3. Getting Started'!B7="No",'23. 14-15 Exc &amp; Adj'!E24,'23. 14-15 Exc &amp; Adj'!C34))))</f>
        <v>0</v>
      </c>
      <c r="O34" s="264"/>
      <c r="P34" s="265"/>
    </row>
    <row r="35" spans="1:16" x14ac:dyDescent="0.25">
      <c r="A35" s="288" t="str">
        <f>IF(C$6="Met","",IF(OR(B$4="2018-2019",B$4="2017-2018",B$4="2016-2017",B$4="2015-2016",B$4="2014-2015",B$4="2013-2014"),"","2013-14 Total"))</f>
        <v>2013-14 Total</v>
      </c>
      <c r="B35" s="258">
        <f>IF(A35="","",IF('22. 13-14 Exc &amp; Adj'!$B$30="",0,IF('22. 13-14 Exc &amp; Adj'!$B$30&gt;="",0,IF('3. Getting Started'!$B$7="No",'22. 13-14 Exc &amp; Adj'!$B$24,'22. 13-14 Exc &amp; Adj'!$B$34))))</f>
        <v>0</v>
      </c>
      <c r="C35" s="264"/>
      <c r="D35" s="265"/>
      <c r="E35" s="259" t="str">
        <f>IF(G$6="Met","",IF(OR(F$4="2018-2019",F$4="2017-2018",F$4="2016-2017",F$4="2015-2016",F$4="2014-2015",F$4="2013-2014"),"","2013-14 Total"))</f>
        <v>2013-14 Total</v>
      </c>
      <c r="F35" s="258">
        <f>IF(E35="","",IF('22. 13-14 Exc &amp; Adj'!$B$30="",0,IF('22. 13-14 Exc &amp; Adj'!B30&gt;=0,"",IF('3. Getting Started'!B7="No",'22. 13-14 Exc &amp; Adj'!C24,'22. 13-14 Exc &amp; Adj'!C34))))</f>
        <v>0</v>
      </c>
      <c r="G35" s="264"/>
      <c r="H35" s="265"/>
      <c r="I35" s="259" t="str">
        <f>IF(K$6="Met","",IF(OR(J$4="2018-2019",J$4="2017-2018",J$4="2016-2017",J$4="2015-2016",J$4="2014-2015",J$4="2013-2014"),"","2013-14 Total"))</f>
        <v>2013-14 Total</v>
      </c>
      <c r="J35" s="258">
        <f>IF(I35="","",IF('22. 13-14 Exc &amp; Adj'!$B$30="",0,IF('22. 13-14 Exc &amp; Adj'!B30&gt;=0,"",IF('3. Getting Started'!B7="No",'22. 13-14 Exc &amp; Adj'!D24,'22. 13-14 Exc &amp; Adj'!B34))))</f>
        <v>0</v>
      </c>
      <c r="K35" s="264"/>
      <c r="L35" s="265"/>
      <c r="M35" s="259" t="str">
        <f>IF(O$6="Met","",IF(OR(N$4="2018-2019",N$4="2017-2018",N$4="2016-2017",N$4="2015-2016",N$4="2014-2015",N$4="2013-2014"),"","2013-14 Total"))</f>
        <v>2013-14 Total</v>
      </c>
      <c r="N35" s="258">
        <f>IF(M35="","",IF('22. 13-14 Exc &amp; Adj'!$B$30="",0,IF('22. 13-14 Exc &amp; Adj'!B30&gt;=0,"",IF('3. Getting Started'!B7="No",'22. 13-14 Exc &amp; Adj'!E24,'22. 13-14 Exc &amp; Adj'!C34))))</f>
        <v>0</v>
      </c>
      <c r="O35" s="264"/>
      <c r="P35" s="265"/>
    </row>
    <row r="36" spans="1:16" x14ac:dyDescent="0.25">
      <c r="A36" s="389" t="str">
        <f>IF(C$6="Met","",IF(OR(B$4="2018-2019",B$4="2017-2018",B$4="2016-2017",B$4="2015-2016",B$4="2014-2015",B$4="2013-2014",B$4="2012-2013"),"","2012-13 Total"))</f>
        <v>2012-13 Total</v>
      </c>
      <c r="B36" s="261">
        <f>IF(A36="","",IF('21. 12-13 Exc &amp; Adj'!$B$30="",0,IF('21. 12-13 Exc &amp; Adj'!B30&gt;=0,"",IF('3. Getting Started'!B7="No",'21. 12-13 Exc &amp; Adj'!B24,'21. 12-13 Exc &amp; Adj'!B34))))</f>
        <v>0</v>
      </c>
      <c r="C36" s="264"/>
      <c r="D36" s="265"/>
      <c r="E36" s="260" t="str">
        <f>IF(G$6="Met","",IF(OR(F$4="2018-2019",F$4="2017-2018",F$4="2016-2017",F$4="2015-2016",F$4="2014-2015",F$4="2013-2014",F$4="2012-2013"),"","2012-13 Total"))</f>
        <v>2012-13 Total</v>
      </c>
      <c r="F36" s="261">
        <f>IF(E36="","",IF('21. 12-13 Exc &amp; Adj'!$B$30="",0,IF('21. 12-13 Exc &amp; Adj'!B30&gt;=0,"",IF('3. Getting Started'!B7="No",'21. 12-13 Exc &amp; Adj'!C24,'21. 12-13 Exc &amp; Adj'!C34))))</f>
        <v>0</v>
      </c>
      <c r="G36" s="264"/>
      <c r="H36" s="265"/>
      <c r="I36" s="260" t="str">
        <f>IF(K$6="Met","",IF(OR(J$4="2018-2019",J$4="2017-2018",J$4="2016-2017",J$4="2015-2016",J$4="2014-2015",J$4="2013-2014",J$4="2012-2013"),"","2012-13 Total"))</f>
        <v>2012-13 Total</v>
      </c>
      <c r="J36" s="261">
        <f>IF(I36="","",IF('21. 12-13 Exc &amp; Adj'!$B$30="",0,IF('21. 12-13 Exc &amp; Adj'!B30&gt;=0,"",IF('3. Getting Started'!B7="No",'21. 12-13 Exc &amp; Adj'!D24,'21. 12-13 Exc &amp; Adj'!B34))))</f>
        <v>0</v>
      </c>
      <c r="K36" s="264"/>
      <c r="L36" s="265"/>
      <c r="M36" s="260" t="str">
        <f>IF(O$6="Met","",IF(OR(N$4="2018-2019",N$4="2017-2018",N$4="2016-2017",N$4="2015-2016",N$4="2014-2015",N$4="2013-2014",N$4="2012-2013"),"","2012-13 Total"))</f>
        <v>2012-13 Total</v>
      </c>
      <c r="N36" s="261">
        <f>IF(M36="","",IF('21. 12-13 Exc &amp; Adj'!$B$30="",0,IF('21. 12-13 Exc &amp; Adj'!B30&gt;=0,"",IF('3. Getting Started'!B7="No",'21. 12-13 Exc &amp; Adj'!E24,'21. 12-13 Exc &amp; Adj'!C34))))</f>
        <v>0</v>
      </c>
      <c r="O36" s="264"/>
      <c r="P36" s="265"/>
    </row>
    <row r="37" spans="1:16" x14ac:dyDescent="0.25">
      <c r="A37" s="394" t="str">
        <f>IF(C$6="Met","",IF(OR(B$4="2018-2019",B$4="2017-2018",B$4="2016-2017",B$4="2015-2016",B$4="2014-2015",B$4="2013-2014",B$4="2012-2013",B$4="2011-2012"),"","2011-12 Total"))</f>
        <v>2011-12 Total</v>
      </c>
      <c r="B37" s="386">
        <f>IF(A37="","",IF('20. 11-12 Exc &amp; Adj'!$B$30="",0,IF('20. 11-12 Exc &amp; Adj'!B30&gt;=0,"",IF('3. Getting Started'!B7="No",'20. 11-12 Exc &amp; Adj'!B24,'20. 11-12 Exc &amp; Adj'!B34))))</f>
        <v>0</v>
      </c>
      <c r="C37" s="264"/>
      <c r="D37" s="256"/>
      <c r="E37" s="385" t="str">
        <f>IF(G$6="Met","",IF(OR(F$4="2018-2019",F$4="2017-2018",F$4="2016-2017",F$4="2015-2016",F$4="2014-2015",F$4="2013-2014",F$4="2012-2013",F$4="2011-2012"),"","2011-12 Total"))</f>
        <v>2011-12 Total</v>
      </c>
      <c r="F37" s="386">
        <f>IF(E37="","",IF('20. 11-12 Exc &amp; Adj'!$B$30="",0,IF('20. 11-12 Exc &amp; Adj'!B30&gt;=0,"",IF('3. Getting Started'!B7="No",'20. 11-12 Exc &amp; Adj'!C24,'20. 11-12 Exc &amp; Adj'!C34))))</f>
        <v>0</v>
      </c>
      <c r="G37" s="264"/>
      <c r="H37" s="256"/>
      <c r="I37" s="385" t="str">
        <f>IF(K$6="Met","",IF(OR(J$4="2018-2019",J$4="2017-2018",J$4="2016-2017",J$4="2015-2016",J$4="2014-2015",J$4="2013-2014",J$4="2012-2013",J$4="2011-2012"),"","2011-12 Total"))</f>
        <v>2011-12 Total</v>
      </c>
      <c r="J37" s="386">
        <f>IF(I37="","",IF('20. 11-12 Exc &amp; Adj'!$B$30="",0,IF('20. 11-12 Exc &amp; Adj'!B30&gt;=0,"",IF('3. Getting Started'!B7="No",'20. 11-12 Exc &amp; Adj'!D24,'20. 11-12 Exc &amp; Adj'!B34))))</f>
        <v>0</v>
      </c>
      <c r="K37" s="264"/>
      <c r="L37" s="256"/>
      <c r="M37" s="385" t="str">
        <f>IF(O$6="Met","",IF(OR(N$4="2018-2019",N$4="2017-2018",N$4="2016-2017",N$4="2015-2016",N$4="2014-2015",N$4="2013-2014",N$4="2012-2013",N$4="2011-2012"),"","2011-12 Total"))</f>
        <v>2011-12 Total</v>
      </c>
      <c r="N37" s="386">
        <f>IF(M37="","",IF('20. 11-12 Exc &amp; Adj'!$B$30="",0,IF('20. 11-12 Exc &amp; Adj'!B30&gt;=0,"",IF('3. Getting Started'!B7="No",'20. 11-12 Exc &amp; Adj'!E24,'20. 11-12 Exc &amp; Adj'!C34))))</f>
        <v>0</v>
      </c>
      <c r="O37" s="264"/>
      <c r="P37" s="256"/>
    </row>
    <row r="38" spans="1:16" x14ac:dyDescent="0.25">
      <c r="A38" s="488" t="s">
        <v>219</v>
      </c>
      <c r="B38" s="489"/>
      <c r="C38" s="264"/>
      <c r="D38" s="256"/>
      <c r="E38" s="488" t="s">
        <v>219</v>
      </c>
      <c r="F38" s="489"/>
      <c r="G38" s="264"/>
      <c r="H38" s="256"/>
      <c r="I38" s="488" t="s">
        <v>219</v>
      </c>
      <c r="J38" s="489"/>
      <c r="K38" s="264"/>
      <c r="L38" s="256"/>
      <c r="M38" s="492" t="s">
        <v>219</v>
      </c>
      <c r="N38" s="493"/>
      <c r="O38" s="264"/>
      <c r="P38" s="256"/>
    </row>
    <row r="39" spans="1:16" x14ac:dyDescent="0.25">
      <c r="A39" s="250" t="s">
        <v>37</v>
      </c>
      <c r="B39" s="263"/>
      <c r="C39" s="264"/>
      <c r="D39" s="256"/>
      <c r="E39" s="250" t="s">
        <v>37</v>
      </c>
      <c r="F39" s="263"/>
      <c r="G39" s="264"/>
      <c r="H39" s="256"/>
      <c r="I39" s="250" t="s">
        <v>37</v>
      </c>
      <c r="J39" s="263"/>
      <c r="K39" s="264"/>
      <c r="L39" s="256"/>
      <c r="M39" s="250" t="s">
        <v>37</v>
      </c>
      <c r="N39" s="263"/>
      <c r="O39" s="264"/>
      <c r="P39" s="256"/>
    </row>
    <row r="40" spans="1:16" x14ac:dyDescent="0.25">
      <c r="A40" s="250" t="s">
        <v>41</v>
      </c>
      <c r="B40" s="263"/>
      <c r="C40" s="264"/>
      <c r="D40" s="256"/>
      <c r="E40" s="250" t="s">
        <v>41</v>
      </c>
      <c r="F40" s="263"/>
      <c r="G40" s="264"/>
      <c r="H40" s="256"/>
      <c r="I40" s="250" t="s">
        <v>41</v>
      </c>
      <c r="J40" s="263"/>
      <c r="K40" s="264"/>
      <c r="L40" s="256"/>
      <c r="M40" s="250" t="s">
        <v>41</v>
      </c>
      <c r="N40" s="263"/>
      <c r="O40" s="264"/>
      <c r="P40" s="256"/>
    </row>
    <row r="41" spans="1:16" x14ac:dyDescent="0.25">
      <c r="A41" s="250" t="s">
        <v>38</v>
      </c>
      <c r="B41" s="263"/>
      <c r="C41" s="264"/>
      <c r="D41" s="256"/>
      <c r="E41" s="250" t="s">
        <v>38</v>
      </c>
      <c r="F41" s="263"/>
      <c r="G41" s="264"/>
      <c r="H41" s="256"/>
      <c r="I41" s="250" t="s">
        <v>38</v>
      </c>
      <c r="J41" s="263"/>
      <c r="K41" s="264"/>
      <c r="L41" s="256"/>
      <c r="M41" s="250" t="s">
        <v>38</v>
      </c>
      <c r="N41" s="263"/>
      <c r="O41" s="264"/>
      <c r="P41" s="256"/>
    </row>
    <row r="42" spans="1:16" x14ac:dyDescent="0.25">
      <c r="A42" s="250" t="s">
        <v>40</v>
      </c>
      <c r="B42" s="263"/>
      <c r="C42" s="264"/>
      <c r="D42" s="256"/>
      <c r="E42" s="250" t="s">
        <v>40</v>
      </c>
      <c r="F42" s="263"/>
      <c r="G42" s="264"/>
      <c r="H42" s="256"/>
      <c r="I42" s="250" t="s">
        <v>40</v>
      </c>
      <c r="J42" s="263"/>
      <c r="K42" s="264"/>
      <c r="L42" s="256"/>
      <c r="M42" s="250" t="s">
        <v>40</v>
      </c>
      <c r="N42" s="263"/>
      <c r="O42" s="264"/>
      <c r="P42" s="256"/>
    </row>
    <row r="43" spans="1:16" x14ac:dyDescent="0.25">
      <c r="A43" s="250" t="s">
        <v>39</v>
      </c>
      <c r="B43" s="263"/>
      <c r="C43" s="264"/>
      <c r="D43" s="256"/>
      <c r="E43" s="250" t="s">
        <v>39</v>
      </c>
      <c r="F43" s="263"/>
      <c r="G43" s="264"/>
      <c r="H43" s="256"/>
      <c r="I43" s="250" t="s">
        <v>39</v>
      </c>
      <c r="J43" s="263"/>
      <c r="K43" s="264"/>
      <c r="L43" s="256"/>
      <c r="M43" s="250" t="s">
        <v>39</v>
      </c>
      <c r="N43" s="263"/>
      <c r="O43" s="264"/>
      <c r="P43" s="256"/>
    </row>
    <row r="44" spans="1:16" x14ac:dyDescent="0.25">
      <c r="A44" s="281" t="s">
        <v>74</v>
      </c>
      <c r="B44" s="266" t="s">
        <v>75</v>
      </c>
      <c r="C44" s="264"/>
      <c r="D44" s="256"/>
      <c r="E44" s="254" t="s">
        <v>74</v>
      </c>
      <c r="F44" s="266" t="s">
        <v>75</v>
      </c>
      <c r="G44" s="264"/>
      <c r="H44" s="256"/>
      <c r="I44" s="254" t="s">
        <v>74</v>
      </c>
      <c r="J44" s="266" t="s">
        <v>75</v>
      </c>
      <c r="K44" s="264"/>
      <c r="L44" s="256"/>
      <c r="M44" s="254" t="s">
        <v>74</v>
      </c>
      <c r="N44" s="266" t="s">
        <v>75</v>
      </c>
      <c r="O44" s="264"/>
      <c r="P44" s="256"/>
    </row>
    <row r="45" spans="1:16" x14ac:dyDescent="0.25">
      <c r="A45" s="397" t="str">
        <f>IF(C$6="Met","","2019-20 Total")</f>
        <v>2019-20 Total</v>
      </c>
      <c r="B45" s="268">
        <f>IF(A45="","",IF($B$1="Eligibility",'19. 19-20 Exc &amp; Adj'!$C$46,IF($B$1="Compliance",'19. 19-20 Exc &amp; Adj'!$J$46)))</f>
        <v>0</v>
      </c>
      <c r="C45" s="264"/>
      <c r="D45" s="256"/>
      <c r="E45" s="321" t="str">
        <f>IF(G$6="Met","","2019-20 Total")</f>
        <v>2019-20 Total</v>
      </c>
      <c r="F45" s="268">
        <f>IF(E45="","",IF($B$1="Eligibility",'19. 19-20 Exc &amp; Adj'!$C$46,IF($B$1="Compliance",'19. 19-20 Exc &amp; Adj'!$J$46)))</f>
        <v>0</v>
      </c>
      <c r="G45" s="264"/>
      <c r="H45" s="256"/>
      <c r="I45" s="321" t="str">
        <f>IF(K$6="Met","","2019-20 Total")</f>
        <v>2019-20 Total</v>
      </c>
      <c r="J45" s="268">
        <f>IF(I45="","",IF($B$1="Eligibility",'19. 19-20 Exc &amp; Adj'!$C$46,IF($B$1="Compliance",'19. 19-20 Exc &amp; Adj'!$J$46)))</f>
        <v>0</v>
      </c>
      <c r="K45" s="264"/>
      <c r="L45" s="256"/>
      <c r="M45" s="321" t="str">
        <f>IF(O$6="Met","","2019-20 Total")</f>
        <v>2019-20 Total</v>
      </c>
      <c r="N45" s="268">
        <f>IF(M45="","",IF($B$1="Eligibility",'19. 19-20 Exc &amp; Adj'!$C$46,IF($B$1="Compliance",'19. 19-20 Exc &amp; Adj'!$J$46)))</f>
        <v>0</v>
      </c>
      <c r="O45" s="264"/>
      <c r="P45" s="256"/>
    </row>
    <row r="46" spans="1:16" x14ac:dyDescent="0.25">
      <c r="A46" s="397" t="str">
        <f>IF(C$6="Met","",IF(B$4="2018-2019","","2018-19 Total"))</f>
        <v>2018-19 Total</v>
      </c>
      <c r="B46" s="268">
        <f>IF(A46="","",IF($B$1="Eligibility",'16. 18-19 Exc &amp; Adj'!$C$46,IF($B$1="Compliance",'16. 18-19 Exc &amp; Adj'!$J$46)))</f>
        <v>0</v>
      </c>
      <c r="C46" s="264"/>
      <c r="D46" s="256"/>
      <c r="E46" s="321" t="str">
        <f>IF(G$6="Met","",IF(F$4="2018-2019","","2018-19 Total"))</f>
        <v>2018-19 Total</v>
      </c>
      <c r="F46" s="268">
        <f>IF(E46="","",IF($B$1="Eligibility",'16. 18-19 Exc &amp; Adj'!$C$46,IF($B$1="Compliance",'16. 18-19 Exc &amp; Adj'!$J$46)))</f>
        <v>0</v>
      </c>
      <c r="G46" s="264"/>
      <c r="H46" s="256"/>
      <c r="I46" s="321" t="str">
        <f>IF(K$6="Met","",IF(J$4="2018-2019","","2018-19 Total"))</f>
        <v>2018-19 Total</v>
      </c>
      <c r="J46" s="268">
        <f>IF(I46="","",IF($B$1="Eligibility",'16. 18-19 Exc &amp; Adj'!$C$46,IF($B$1="Compliance",'16. 18-19 Exc &amp; Adj'!$J$46)))</f>
        <v>0</v>
      </c>
      <c r="K46" s="264"/>
      <c r="L46" s="256"/>
      <c r="M46" s="321" t="str">
        <f>IF(O$6="Met","",IF(N$4="2018-2019","","2018-19 Total"))</f>
        <v>2018-19 Total</v>
      </c>
      <c r="N46" s="268">
        <f>IF(M46="","",IF($B$1="Eligibility",'16. 18-19 Exc &amp; Adj'!$C$46,IF($B$1="Compliance",'16. 18-19 Exc &amp; Adj'!$J$46)))</f>
        <v>0</v>
      </c>
      <c r="O46" s="264"/>
      <c r="P46" s="256"/>
    </row>
    <row r="47" spans="1:16" x14ac:dyDescent="0.25">
      <c r="A47" s="388" t="str">
        <f>IF(C$6="Met","",IF(OR(B$4="2018-2019",B$4="2017-2018"),"","2017-18 Total"))</f>
        <v>2017-18 Total</v>
      </c>
      <c r="B47" s="268">
        <f>IF(A47="","",'13. 17-18 Exc &amp; Adj'!$J$46)</f>
        <v>0</v>
      </c>
      <c r="C47" s="264"/>
      <c r="D47" s="256"/>
      <c r="E47" s="257" t="str">
        <f>IF(G$6="Met","",IF(OR(F$4="2018-2019",F$4="2017-2018"),"","2017-18 Total"))</f>
        <v>2017-18 Total</v>
      </c>
      <c r="F47" s="268">
        <f>IF(E47="","",'13. 17-18 Exc &amp; Adj'!$J$46)</f>
        <v>0</v>
      </c>
      <c r="G47" s="264"/>
      <c r="H47" s="256"/>
      <c r="I47" s="257" t="str">
        <f>IF(K$6="Met","",IF(OR(J$4="2018-2019",J$4="2017-2018"),"","2017-18 Total"))</f>
        <v>2017-18 Total</v>
      </c>
      <c r="J47" s="268">
        <f>IF(I47="","",'13. 17-18 Exc &amp; Adj'!$J$46)</f>
        <v>0</v>
      </c>
      <c r="K47" s="264"/>
      <c r="L47" s="256"/>
      <c r="M47" s="257" t="str">
        <f>IF(O$6="Met","",IF(OR(N$4="2018-2019",N$4="2017-2018"),"","2017-18 Total"))</f>
        <v>2017-18 Total</v>
      </c>
      <c r="N47" s="268">
        <f>IF(M47="","",'13. 17-18 Exc &amp; Adj'!$J$46)</f>
        <v>0</v>
      </c>
      <c r="O47" s="264"/>
      <c r="P47" s="256"/>
    </row>
    <row r="48" spans="1:16" x14ac:dyDescent="0.25">
      <c r="A48" s="388" t="str">
        <f>IF(C$6="Met","",IF(OR(B$4="2018-2019",B$4="2017-2018",B$4="2016-2017"),"","2016-17 Total"))</f>
        <v>2016-17 Total</v>
      </c>
      <c r="B48" s="268">
        <f>IF(A48="","",'10. 16-17 Exc &amp; Adj'!$J$46)</f>
        <v>0</v>
      </c>
      <c r="C48" s="264"/>
      <c r="D48" s="256"/>
      <c r="E48" s="257" t="str">
        <f>IF(G$6="Met","",IF(OR(F$4="2018-2019",F$4="2017-2018",F$4="2016-2017"),"","2016-17 Total"))</f>
        <v>2016-17 Total</v>
      </c>
      <c r="F48" s="268">
        <f>IF(E48="","",'10. 16-17 Exc &amp; Adj'!$J$46)</f>
        <v>0</v>
      </c>
      <c r="G48" s="264"/>
      <c r="H48" s="256"/>
      <c r="I48" s="257" t="str">
        <f>IF(K$6="Met","",IF(OR(J$4="2018-2019",J$4="2017-2018",J$4="2016-2017"),"","2016-17 Total"))</f>
        <v>2016-17 Total</v>
      </c>
      <c r="J48" s="268">
        <f>IF(I48="","",'10. 16-17 Exc &amp; Adj'!$J$46)</f>
        <v>0</v>
      </c>
      <c r="K48" s="264"/>
      <c r="L48" s="256"/>
      <c r="M48" s="257" t="str">
        <f>IF(O$6="Met","",IF(OR(N$4="2018-2019",N$4="2017-2018",N$4="2016-2017"),"","2016-17 Total"))</f>
        <v>2016-17 Total</v>
      </c>
      <c r="N48" s="268">
        <f>IF(M48="","",'10. 16-17 Exc &amp; Adj'!$J$46)</f>
        <v>0</v>
      </c>
      <c r="O48" s="264"/>
      <c r="P48" s="256"/>
    </row>
    <row r="49" spans="1:16" x14ac:dyDescent="0.25">
      <c r="A49" s="388" t="str">
        <f>IF(C$6="Met","",IF(OR(B$4="2018-2019",B$4="2017-2018",B$4="2016-2017",B$4="2015-2016"),"","2015-16 Total"))</f>
        <v>2015-16 Total</v>
      </c>
      <c r="B49" s="268">
        <f>IF(A49="","",'7. 15-16 Exc &amp; Adj'!$J$46)</f>
        <v>0</v>
      </c>
      <c r="C49" s="264"/>
      <c r="D49" s="256"/>
      <c r="E49" s="257" t="str">
        <f>IF(G$6="Met","",IF(OR(F$4="2018-2019",F$4="2017-2018",F$4="2016-2017",F$4="2015-2016"),"","2015-16 Total"))</f>
        <v>2015-16 Total</v>
      </c>
      <c r="F49" s="268">
        <f>IF(E49="","",'7. 15-16 Exc &amp; Adj'!$J$46)</f>
        <v>0</v>
      </c>
      <c r="G49" s="264"/>
      <c r="H49" s="256"/>
      <c r="I49" s="257" t="str">
        <f>IF(K$6="Met","",IF(OR(J$4="2018-2019",J$4="2017-2018",J$4="2016-2017",J$4="2015-2016"),"","2015-16 Total"))</f>
        <v>2015-16 Total</v>
      </c>
      <c r="J49" s="268">
        <f>IF(I49="","",'7. 15-16 Exc &amp; Adj'!$J$46)</f>
        <v>0</v>
      </c>
      <c r="K49" s="264"/>
      <c r="L49" s="256"/>
      <c r="M49" s="257" t="str">
        <f>IF(O$6="Met","",IF(OR(N$4="2018-2019",N$4="2017-2018",N$4="2016-2017",N$4="2015-2016"),"","2015-16 Total"))</f>
        <v>2015-16 Total</v>
      </c>
      <c r="N49" s="268">
        <f>IF(M49="","",'7. 15-16 Exc &amp; Adj'!$J$46)</f>
        <v>0</v>
      </c>
      <c r="O49" s="264"/>
      <c r="P49" s="256"/>
    </row>
    <row r="50" spans="1:16" x14ac:dyDescent="0.25">
      <c r="A50" s="388" t="str">
        <f>IF(C$6="Met","",IF(OR(B$4="2018-2019",B$4="2017-2018",B$4="2016-2017",B$4="2015-2016",B$4="2014-2015"),"","2014-15 Total"))</f>
        <v>2014-15 Total</v>
      </c>
      <c r="B50" s="268">
        <f>IF(A50="","",'23. 14-15 Exc &amp; Adj'!C45)</f>
        <v>0</v>
      </c>
      <c r="C50" s="264"/>
      <c r="D50" s="256"/>
      <c r="E50" s="257" t="str">
        <f>IF(G$6="Met","",IF(OR(F$4="2018-2019",F$4="2017-2018",F$4="2016-2017",F$4="2015-2016",F$4="2014-2015"),"","2014-15 Total"))</f>
        <v>2014-15 Total</v>
      </c>
      <c r="F50" s="268">
        <f>IF(E50="","",'23. 14-15 Exc &amp; Adj'!C45)</f>
        <v>0</v>
      </c>
      <c r="G50" s="264"/>
      <c r="H50" s="256"/>
      <c r="I50" s="257" t="str">
        <f>IF(K$6="Met","",IF(OR(J$4="2018-2019",J$4="2017-2018",J$4="2016-2017",J$4="2015-2016",J$4="2014-2015"),"","2014-15 Total"))</f>
        <v>2014-15 Total</v>
      </c>
      <c r="J50" s="268">
        <f>IF(I50="","",'23. 14-15 Exc &amp; Adj'!C45)</f>
        <v>0</v>
      </c>
      <c r="K50" s="264"/>
      <c r="L50" s="256"/>
      <c r="M50" s="257" t="str">
        <f>IF(O$6="Met","",IF(OR(N$4="2018-2019",N$4="2017-2018",N$4="2016-2017",N$4="2015-2016",N$4="2014-2015"),"","2014-15 Total"))</f>
        <v>2014-15 Total</v>
      </c>
      <c r="N50" s="268">
        <f>IF(M50="","",'23. 14-15 Exc &amp; Adj'!C45)</f>
        <v>0</v>
      </c>
      <c r="O50" s="264"/>
      <c r="P50" s="256"/>
    </row>
    <row r="51" spans="1:16" x14ac:dyDescent="0.25">
      <c r="A51" s="288" t="str">
        <f>IF(C$6="Met","",IF(OR(B$4="2018-2019",B$4="2017-2018",B$4="2016-2017",B$4="2015-2016",B$4="2014-2015",B$4="2013-2014"),"","2013-14 Total"))</f>
        <v>2013-14 Total</v>
      </c>
      <c r="B51" s="268">
        <f>IF(A51="","",'22. 13-14 Exc &amp; Adj'!C45)</f>
        <v>0</v>
      </c>
      <c r="C51" s="264"/>
      <c r="D51" s="256"/>
      <c r="E51" s="259" t="str">
        <f>IF(G$6="Met","",IF(OR(F$4="2018-2019",F$4="2017-2018",F$4="2016-2017",F$4="2015-2016",F$4="2014-2015",F$4="2013-2014"),"","2013-14 Total"))</f>
        <v>2013-14 Total</v>
      </c>
      <c r="F51" s="268">
        <f>IF(E51="","",'22. 13-14 Exc &amp; Adj'!C45)</f>
        <v>0</v>
      </c>
      <c r="G51" s="264"/>
      <c r="H51" s="256"/>
      <c r="I51" s="259" t="str">
        <f>IF(K$6="Met","",IF(OR(J$4="2018-2019",J$4="2017-2018",J$4="2016-2017",J$4="2015-2016",J$4="2014-2015",J$4="2013-2014"),"","2013-14 Total"))</f>
        <v>2013-14 Total</v>
      </c>
      <c r="J51" s="268">
        <f>IF(I51="","",'22. 13-14 Exc &amp; Adj'!C45)</f>
        <v>0</v>
      </c>
      <c r="K51" s="264"/>
      <c r="L51" s="256"/>
      <c r="M51" s="259" t="str">
        <f>IF(O$6="Met","",IF(OR(N$4="2018-2019",N$4="2017-2018",N$4="2016-2017",N$4="2015-2016",N$4="2014-2015",N$4="2013-2014"),"","2013-14 Total"))</f>
        <v>2013-14 Total</v>
      </c>
      <c r="N51" s="268">
        <f>IF(M51="","",'22. 13-14 Exc &amp; Adj'!C45)</f>
        <v>0</v>
      </c>
      <c r="O51" s="264"/>
      <c r="P51" s="256"/>
    </row>
    <row r="52" spans="1:16" x14ac:dyDescent="0.25">
      <c r="A52" s="288" t="str">
        <f>IF(C$6="Met","",IF(OR(B$4="2018-2019",B$4="2017-2018",B$4="2016-2017",B$4="2015-2016",B$4="2014-2015",B$4="2013-2014",B$4="2012-2013"),"","2012-13 Total"))</f>
        <v>2012-13 Total</v>
      </c>
      <c r="B52" s="268">
        <f>IF(A52="","",'21. 12-13 Exc &amp; Adj'!C45)</f>
        <v>0</v>
      </c>
      <c r="C52" s="264"/>
      <c r="D52" s="256"/>
      <c r="E52" s="260" t="str">
        <f>IF(G$6="Met","",IF(OR(F$4="2018-2019",F$4="2017-2018",F$4="2016-2017",F$4="2015-2016",F$4="2014-2015",F$4="2013-2014",F$4="2012-2013"),"","2012-13 Total"))</f>
        <v>2012-13 Total</v>
      </c>
      <c r="F52" s="268">
        <f>IF(E52="","",'21. 12-13 Exc &amp; Adj'!C45)</f>
        <v>0</v>
      </c>
      <c r="G52" s="264"/>
      <c r="H52" s="256"/>
      <c r="I52" s="260" t="str">
        <f>IF(K$6="Met","",IF(OR(J$4="2018-2019",J$4="2017-2018",J$4="2016-2017",J$4="2015-2016",J$4="2014-2015",J$4="2013-2014",J$4="2012-2013"),"","2012-13 Total"))</f>
        <v>2012-13 Total</v>
      </c>
      <c r="J52" s="268">
        <f>IF(I52="","",'21. 12-13 Exc &amp; Adj'!C45)</f>
        <v>0</v>
      </c>
      <c r="K52" s="264"/>
      <c r="L52" s="256"/>
      <c r="M52" s="260" t="str">
        <f>IF(O$6="Met","",IF(OR(N$4="2018-2019",N$4="2017-2018",N$4="2016-2017",N$4="2015-2016",N$4="2014-2015",N$4="2013-2014",N$4="2012-2013"),"","2012-13 Total"))</f>
        <v>2012-13 Total</v>
      </c>
      <c r="N52" s="268">
        <f>IF(M52="","",'21. 12-13 Exc &amp; Adj'!C45)</f>
        <v>0</v>
      </c>
      <c r="O52" s="264"/>
      <c r="P52" s="256"/>
    </row>
    <row r="53" spans="1:16" x14ac:dyDescent="0.25">
      <c r="A53" s="283" t="str">
        <f>IF(C$6="Met","",IF(OR(B$4="2018-2019",B$4="2017-2018",B$4="2016-2017",B$4="2015-2016",B$4="2014-2015",B$4="2013-2014",B$4="2012-2013",B$4="2011-2012"),"","2011-12 Total"))</f>
        <v>2011-12 Total</v>
      </c>
      <c r="B53" s="268">
        <f>IF(A53="","",'20. 11-12 Exc &amp; Adj'!C45)</f>
        <v>0</v>
      </c>
      <c r="C53" s="264"/>
      <c r="D53" s="256"/>
      <c r="E53" s="267" t="str">
        <f>IF(G$6="Met","",IF(OR(F$4="2018-2019",F$4="2017-2018",F$4="2016-2017",F$4="2015-2016",F$4="2014-2015",F$4="2013-2014",F$4="2012-2013",F$4="2011-2012"),"","2011-12 Total"))</f>
        <v>2011-12 Total</v>
      </c>
      <c r="F53" s="268">
        <f>IF(E53="","",'20. 11-12 Exc &amp; Adj'!C45)</f>
        <v>0</v>
      </c>
      <c r="G53" s="264"/>
      <c r="H53" s="256"/>
      <c r="I53" s="267" t="str">
        <f>IF(K$6="Met","",IF(OR(J$4="2018-2019",J$4="2017-2018",J$4="2016-2017",J$4="2015-2016",J$4="2014-2015",J$4="2013-2014",J$4="2012-2013",J$4="2011-2012"),"","2011-12 Total"))</f>
        <v>2011-12 Total</v>
      </c>
      <c r="J53" s="268">
        <f>IF(I53="","",'20. 11-12 Exc &amp; Adj'!C45)</f>
        <v>0</v>
      </c>
      <c r="K53" s="264"/>
      <c r="L53" s="256"/>
      <c r="M53" s="267" t="str">
        <f>IF(O$6="Met","",IF(OR(N$4="2018-2019",N$4="2017-2018",N$4="2016-2017",N$4="2015-2016",N$4="2014-2015",N$4="2013-2014",N$4="2012-2013",N$4="2011-2012"),"","2011-12 Total"))</f>
        <v>2011-12 Total</v>
      </c>
      <c r="N53" s="268">
        <f>IF(M53="","",'20. 11-12 Exc &amp; Adj'!C45)</f>
        <v>0</v>
      </c>
      <c r="O53" s="264"/>
      <c r="P53" s="256"/>
    </row>
    <row r="54" spans="1:16" x14ac:dyDescent="0.25">
      <c r="A54" s="494" t="s">
        <v>219</v>
      </c>
      <c r="B54" s="495"/>
      <c r="C54" s="264"/>
      <c r="D54" s="256"/>
      <c r="E54" s="509" t="s">
        <v>219</v>
      </c>
      <c r="F54" s="510"/>
      <c r="G54" s="264"/>
      <c r="H54" s="256"/>
      <c r="I54" s="494" t="s">
        <v>219</v>
      </c>
      <c r="J54" s="495"/>
      <c r="K54" s="264"/>
      <c r="L54" s="256"/>
      <c r="M54" s="494" t="s">
        <v>219</v>
      </c>
      <c r="N54" s="495"/>
      <c r="O54" s="264"/>
      <c r="P54" s="256"/>
    </row>
    <row r="55" spans="1:16" x14ac:dyDescent="0.25">
      <c r="A55" s="250" t="s">
        <v>42</v>
      </c>
      <c r="B55" s="263"/>
      <c r="C55" s="264"/>
      <c r="D55" s="256"/>
      <c r="E55" s="250" t="s">
        <v>42</v>
      </c>
      <c r="F55" s="263"/>
      <c r="G55" s="264"/>
      <c r="H55" s="256"/>
      <c r="I55" s="250" t="s">
        <v>42</v>
      </c>
      <c r="J55" s="263"/>
      <c r="K55" s="264"/>
      <c r="L55" s="256"/>
      <c r="M55" s="250" t="s">
        <v>42</v>
      </c>
      <c r="N55" s="263"/>
      <c r="O55" s="264"/>
      <c r="P55" s="256"/>
    </row>
    <row r="56" spans="1:16" x14ac:dyDescent="0.25">
      <c r="A56" s="250" t="s">
        <v>43</v>
      </c>
      <c r="B56" s="263"/>
      <c r="C56" s="264"/>
      <c r="D56" s="256"/>
      <c r="E56" s="250" t="s">
        <v>43</v>
      </c>
      <c r="F56" s="263"/>
      <c r="G56" s="264"/>
      <c r="H56" s="256"/>
      <c r="I56" s="250" t="s">
        <v>43</v>
      </c>
      <c r="J56" s="263"/>
      <c r="K56" s="264"/>
      <c r="L56" s="256"/>
      <c r="M56" s="250" t="s">
        <v>43</v>
      </c>
      <c r="N56" s="263"/>
      <c r="O56" s="264"/>
      <c r="P56" s="256"/>
    </row>
    <row r="57" spans="1:16" x14ac:dyDescent="0.25">
      <c r="A57" s="281" t="s">
        <v>74</v>
      </c>
      <c r="B57" s="255" t="s">
        <v>75</v>
      </c>
      <c r="C57" s="264"/>
      <c r="D57" s="256"/>
      <c r="E57" s="254" t="s">
        <v>74</v>
      </c>
      <c r="F57" s="255" t="s">
        <v>75</v>
      </c>
      <c r="G57" s="264"/>
      <c r="H57" s="256"/>
      <c r="I57" s="254" t="s">
        <v>74</v>
      </c>
      <c r="J57" s="255" t="s">
        <v>75</v>
      </c>
      <c r="K57" s="264"/>
      <c r="L57" s="256"/>
      <c r="M57" s="254" t="s">
        <v>74</v>
      </c>
      <c r="N57" s="255" t="s">
        <v>75</v>
      </c>
      <c r="O57" s="264"/>
      <c r="P57" s="256"/>
    </row>
    <row r="58" spans="1:16" x14ac:dyDescent="0.25">
      <c r="A58" s="397" t="str">
        <f>IF(C$6="Met","","2019-20 Total")</f>
        <v>2019-20 Total</v>
      </c>
      <c r="B58" s="270">
        <f>IF(A58="","",IF($B$1="Eligibility",'19. 19-20 Exc &amp; Adj'!$B$56,IF($B$1="Compliance",'19. 19-20 Exc &amp; Adj'!$I$56)))</f>
        <v>0</v>
      </c>
      <c r="C58" s="264"/>
      <c r="D58" s="256"/>
      <c r="E58" s="321" t="str">
        <f>IF(G$6="Met","","2019-20 Total")</f>
        <v>2019-20 Total</v>
      </c>
      <c r="F58" s="270">
        <f>IF(E58="","",IF($B$1="Eligibility",'19. 19-20 Exc &amp; Adj'!$B$56,IF($B$1="Compliance",'19. 19-20 Exc &amp; Adj'!$I$56)))</f>
        <v>0</v>
      </c>
      <c r="G58" s="264"/>
      <c r="H58" s="256"/>
      <c r="I58" s="321" t="str">
        <f>IF(K$6="Met","","2019-20 Total")</f>
        <v>2019-20 Total</v>
      </c>
      <c r="J58" s="270">
        <f>IF(I58="","",IF($B$1="Eligibility",'19. 19-20 Exc &amp; Adj'!$B$56,IF($B$1="Compliance",'19. 19-20 Exc &amp; Adj'!$I$56)))</f>
        <v>0</v>
      </c>
      <c r="K58" s="264"/>
      <c r="L58" s="256"/>
      <c r="M58" s="321" t="str">
        <f>IF(O$6="Met","","2019-20 Total")</f>
        <v>2019-20 Total</v>
      </c>
      <c r="N58" s="270">
        <f>IF(M58="","",IF($B$1="Eligibility",'19. 19-20 Exc &amp; Adj'!$B$56,IF($B$1="Compliance",'19. 19-20 Exc &amp; Adj'!$I$56)))</f>
        <v>0</v>
      </c>
      <c r="O58" s="264"/>
      <c r="P58" s="256"/>
    </row>
    <row r="59" spans="1:16" x14ac:dyDescent="0.25">
      <c r="A59" s="397" t="str">
        <f>IF(C$6="Met","",IF(B$4="2018-2019","","2018-19 Total"))</f>
        <v>2018-19 Total</v>
      </c>
      <c r="B59" s="270">
        <f>IF(A59="","",IF($B$1="Eligibility",'16. 18-19 Exc &amp; Adj'!$B$56,IF($B$1="Compliance",'16. 18-19 Exc &amp; Adj'!$I$56)))</f>
        <v>0</v>
      </c>
      <c r="C59" s="264"/>
      <c r="D59" s="256"/>
      <c r="E59" s="321" t="str">
        <f>IF(G$6="Met","",IF(F$4="2018-2019","","2018-19 Total"))</f>
        <v>2018-19 Total</v>
      </c>
      <c r="F59" s="270">
        <f>IF(E59="","",IF($B$1="Eligibility",'16. 18-19 Exc &amp; Adj'!$B$56,IF($B$1="Compliance",'16. 18-19 Exc &amp; Adj'!$I$56)))</f>
        <v>0</v>
      </c>
      <c r="G59" s="264"/>
      <c r="H59" s="256"/>
      <c r="I59" s="321" t="str">
        <f>IF(K$6="Met","",IF(J$4="2018-2019","","2018-19 Total"))</f>
        <v>2018-19 Total</v>
      </c>
      <c r="J59" s="270">
        <f>IF(I59="","",IF($B$1="Eligibility",'16. 18-19 Exc &amp; Adj'!$B$56,IF($B$1="Compliance",'16. 18-19 Exc &amp; Adj'!$I$56)))</f>
        <v>0</v>
      </c>
      <c r="K59" s="264"/>
      <c r="L59" s="256"/>
      <c r="M59" s="321" t="str">
        <f>IF(O$6="Met","",IF(N$4="2018-2019","","2018-19 Total"))</f>
        <v>2018-19 Total</v>
      </c>
      <c r="N59" s="270">
        <f>IF(M59="","",IF($B$1="Eligibility",'16. 18-19 Exc &amp; Adj'!$B$56,IF($B$1="Compliance",'16. 18-19 Exc &amp; Adj'!$I$56)))</f>
        <v>0</v>
      </c>
      <c r="O59" s="264"/>
      <c r="P59" s="256"/>
    </row>
    <row r="60" spans="1:16" x14ac:dyDescent="0.25">
      <c r="A60" s="388" t="str">
        <f>IF(C$6="Met","",IF(OR(B$4="2018-2019",B$4="2017-2018"),"","2017-18 Total"))</f>
        <v>2017-18 Total</v>
      </c>
      <c r="B60" s="270">
        <f>IF(A60="","",'13. 17-18 Exc &amp; Adj'!$I$56)</f>
        <v>0</v>
      </c>
      <c r="C60" s="264"/>
      <c r="D60" s="256"/>
      <c r="E60" s="257" t="str">
        <f>IF(G$6="Met","",IF(OR(F$4="2018-2019",F$4="2017-2018"),"","2017-18 Total"))</f>
        <v>2017-18 Total</v>
      </c>
      <c r="F60" s="270">
        <f>IF(E60="","",'13. 17-18 Exc &amp; Adj'!$I$56)</f>
        <v>0</v>
      </c>
      <c r="G60" s="264"/>
      <c r="H60" s="256"/>
      <c r="I60" s="257" t="str">
        <f>IF(K$6="Met","",IF(OR(J$4="2018-2019",J$4="2017-2018"),"","2017-18 Total"))</f>
        <v>2017-18 Total</v>
      </c>
      <c r="J60" s="270">
        <f>IF(I60="","",'13. 17-18 Exc &amp; Adj'!$I$56)</f>
        <v>0</v>
      </c>
      <c r="K60" s="264"/>
      <c r="L60" s="256"/>
      <c r="M60" s="257" t="str">
        <f>IF(O$6="Met","",IF(OR(N$4="2018-2019",N$4="2017-2018"),"","2017-18 Total"))</f>
        <v>2017-18 Total</v>
      </c>
      <c r="N60" s="270">
        <f>IF(M60="","",'13. 17-18 Exc &amp; Adj'!$I$56)</f>
        <v>0</v>
      </c>
      <c r="O60" s="264"/>
      <c r="P60" s="256"/>
    </row>
    <row r="61" spans="1:16" x14ac:dyDescent="0.25">
      <c r="A61" s="388" t="str">
        <f>IF(C$6="Met","",IF(OR(B$4="2018-2019",B$4="2017-2018",B$4="2016-2017"),"","2016-17 Total"))</f>
        <v>2016-17 Total</v>
      </c>
      <c r="B61" s="270">
        <f>IF(A61="","",'10. 16-17 Exc &amp; Adj'!$I$56)</f>
        <v>0</v>
      </c>
      <c r="C61" s="264"/>
      <c r="D61" s="256"/>
      <c r="E61" s="257" t="str">
        <f>IF(G$6="Met","",IF(OR(F$4="2018-2019",F$4="2017-2018",F$4="2016-2017"),"","2016-17 Total"))</f>
        <v>2016-17 Total</v>
      </c>
      <c r="F61" s="270">
        <f>IF(E61="","",'10. 16-17 Exc &amp; Adj'!$I$56)</f>
        <v>0</v>
      </c>
      <c r="G61" s="264"/>
      <c r="H61" s="256"/>
      <c r="I61" s="257" t="str">
        <f>IF(K$6="Met","",IF(OR(J$4="2018-2019",J$4="2017-2018",J$4="2016-2017"),"","2016-17 Total"))</f>
        <v>2016-17 Total</v>
      </c>
      <c r="J61" s="270">
        <f>IF(I61="","",'10. 16-17 Exc &amp; Adj'!$I$56)</f>
        <v>0</v>
      </c>
      <c r="K61" s="264"/>
      <c r="L61" s="256"/>
      <c r="M61" s="257" t="str">
        <f>IF(O$6="Met","",IF(OR(N$4="2018-2019",N$4="2017-2018",N$4="2016-2017"),"","2016-17 Total"))</f>
        <v>2016-17 Total</v>
      </c>
      <c r="N61" s="270">
        <f>IF(M61="","",'10. 16-17 Exc &amp; Adj'!$I$56)</f>
        <v>0</v>
      </c>
      <c r="O61" s="264"/>
      <c r="P61" s="256"/>
    </row>
    <row r="62" spans="1:16" x14ac:dyDescent="0.25">
      <c r="A62" s="388" t="str">
        <f>IF(C$6="Met","",IF(OR(B$4="2018-2019",B$4="2017-2018",B$4="2016-2017",B$4="2015-2016"),"","2015-16 Total"))</f>
        <v>2015-16 Total</v>
      </c>
      <c r="B62" s="270">
        <f>IF(A62="","",'7. 15-16 Exc &amp; Adj'!$I$56)</f>
        <v>0</v>
      </c>
      <c r="C62" s="264"/>
      <c r="D62" s="256"/>
      <c r="E62" s="257" t="str">
        <f>IF(G$6="Met","",IF(OR(F$4="2018-2019",F$4="2017-2018",F$4="2016-2017",F$4="2015-2016"),"","2015-16 Total"))</f>
        <v>2015-16 Total</v>
      </c>
      <c r="F62" s="270">
        <f>IF(E62="","",'7. 15-16 Exc &amp; Adj'!$I$56)</f>
        <v>0</v>
      </c>
      <c r="G62" s="264"/>
      <c r="H62" s="256"/>
      <c r="I62" s="257" t="str">
        <f>IF(K$6="Met","",IF(OR(J$4="2018-2019",J$4="2017-2018",J$4="2016-2017",J$4="2015-2016"),"","2015-16 Total"))</f>
        <v>2015-16 Total</v>
      </c>
      <c r="J62" s="270">
        <f>IF(I62="","",'7. 15-16 Exc &amp; Adj'!$I$56)</f>
        <v>0</v>
      </c>
      <c r="K62" s="264"/>
      <c r="L62" s="256"/>
      <c r="M62" s="257" t="str">
        <f>IF(O$6="Met","",IF(OR(N$4="2018-2019",N$4="2017-2018",N$4="2016-2017",N$4="2015-2016"),"","2015-16 Total"))</f>
        <v>2015-16 Total</v>
      </c>
      <c r="N62" s="270">
        <f>IF(M62="","",'7. 15-16 Exc &amp; Adj'!$I$56)</f>
        <v>0</v>
      </c>
      <c r="O62" s="264"/>
      <c r="P62" s="256"/>
    </row>
    <row r="63" spans="1:16" x14ac:dyDescent="0.25">
      <c r="A63" s="388" t="str">
        <f>IF(C$6="Met","",IF(OR(B$4="2018-2019",B$4="2017-2018",B$4="2016-2017",B$4="2015-2016",B$4="2014-2015"),"","2014-15 Total"))</f>
        <v>2014-15 Total</v>
      </c>
      <c r="B63" s="270">
        <f>IF(A63="","",'23. 14-15 Exc &amp; Adj'!B55)</f>
        <v>0</v>
      </c>
      <c r="C63" s="264"/>
      <c r="D63" s="256"/>
      <c r="E63" s="257" t="str">
        <f>IF(G$6="Met","",IF(OR(F$4="2018-2019",F$4="2017-2018",F$4="2016-2017",F$4="2015-2016",F$4="2014-2015"),"","2014-15 Total"))</f>
        <v>2014-15 Total</v>
      </c>
      <c r="F63" s="270">
        <f>IF(E63="","",'23. 14-15 Exc &amp; Adj'!B55)</f>
        <v>0</v>
      </c>
      <c r="G63" s="264"/>
      <c r="H63" s="256"/>
      <c r="I63" s="257" t="str">
        <f>IF(K$6="Met","",IF(OR(J$4="2018-2019",J$4="2017-2018",J$4="2016-2017",J$4="2015-2016",J$4="2014-2015"),"","2014-15 Total"))</f>
        <v>2014-15 Total</v>
      </c>
      <c r="J63" s="270">
        <f>IF(I63="","",'23. 14-15 Exc &amp; Adj'!B55)</f>
        <v>0</v>
      </c>
      <c r="K63" s="264"/>
      <c r="L63" s="256"/>
      <c r="M63" s="257" t="str">
        <f>IF(O$6="Met","",IF(OR(N$4="2018-2019",N$4="2017-2018",N$4="2016-2017",N$4="2015-2016",N$4="2014-2015"),"","2014-15 Total"))</f>
        <v>2014-15 Total</v>
      </c>
      <c r="N63" s="270">
        <f>IF(M63="","",'23. 14-15 Exc &amp; Adj'!B55)</f>
        <v>0</v>
      </c>
      <c r="O63" s="264"/>
      <c r="P63" s="256"/>
    </row>
    <row r="64" spans="1:16" x14ac:dyDescent="0.25">
      <c r="A64" s="288" t="str">
        <f>IF(C$6="Met","",IF(OR(B$4="2018-2019",B$4="2017-2018",B$4="2016-2017",B$4="2015-2016",B$4="2014-2015",B$4="2013-2014"),"","2013-14 Total"))</f>
        <v>2013-14 Total</v>
      </c>
      <c r="B64" s="270">
        <f>IF(A64="","",'22. 13-14 Exc &amp; Adj'!B55)</f>
        <v>0</v>
      </c>
      <c r="C64" s="264"/>
      <c r="D64" s="256"/>
      <c r="E64" s="259" t="str">
        <f>IF(G$6="Met","",IF(OR(F$4="2018-2019",F$4="2017-2018",F$4="2016-2017",F$4="2015-2016",F$4="2014-2015",F$4="2013-2014"),"","2013-14 Total"))</f>
        <v>2013-14 Total</v>
      </c>
      <c r="F64" s="270">
        <f>IF(E64="","",'22. 13-14 Exc &amp; Adj'!B55)</f>
        <v>0</v>
      </c>
      <c r="G64" s="264"/>
      <c r="H64" s="256"/>
      <c r="I64" s="259" t="str">
        <f>IF(K$6="Met","",IF(OR(J$4="2018-2019",J$4="2017-2018",J$4="2016-2017",J$4="2015-2016",J$4="2014-2015",J$4="2013-2014"),"","2013-14 Total"))</f>
        <v>2013-14 Total</v>
      </c>
      <c r="J64" s="270">
        <f>IF(I64="","",'22. 13-14 Exc &amp; Adj'!B55)</f>
        <v>0</v>
      </c>
      <c r="K64" s="264"/>
      <c r="L64" s="256"/>
      <c r="M64" s="259" t="str">
        <f>IF(O$6="Met","",IF(OR(N$4="2018-2019",N$4="2017-2018",N$4="2016-2017",N$4="2015-2016",N$4="2014-2015",N$4="2013-2014"),"","2013-14 Total"))</f>
        <v>2013-14 Total</v>
      </c>
      <c r="N64" s="270">
        <f>IF(M64="","",'22. 13-14 Exc &amp; Adj'!B55)</f>
        <v>0</v>
      </c>
      <c r="O64" s="264"/>
      <c r="P64" s="256"/>
    </row>
    <row r="65" spans="1:16" x14ac:dyDescent="0.25">
      <c r="A65" s="389" t="str">
        <f>IF(C$6="Met","",IF(OR(B$4="2018-2019",B$4="2017-2018",B$4="2016-2017",B$4="2015-2016",B$4="2014-2015",B$4="2013-2014",B$4="2012-2013"),"","2012-13 Total"))</f>
        <v>2012-13 Total</v>
      </c>
      <c r="B65" s="271">
        <f>IF(A65="","",'21. 12-13 Exc &amp; Adj'!B55)</f>
        <v>0</v>
      </c>
      <c r="C65" s="264"/>
      <c r="D65" s="256"/>
      <c r="E65" s="259" t="str">
        <f>IF(G$6="Met","",IF(OR(F$4="2018-2019",F$4="2017-2018",F$4="2016-2017",F$4="2015-2016",F$4="2014-2015",F$4="2013-2014",F$4="2012-2013"),"","2012-13 Total"))</f>
        <v>2012-13 Total</v>
      </c>
      <c r="F65" s="271">
        <f>IF(E65="","",'21. 12-13 Exc &amp; Adj'!B55)</f>
        <v>0</v>
      </c>
      <c r="G65" s="264"/>
      <c r="H65" s="256"/>
      <c r="I65" s="259" t="str">
        <f>IF(K$6="Met","",IF(OR(J$4="2018-2019",J$4="2017-2018",J$4="2016-2017",J$4="2015-2016",J$4="2014-2015",J$4="2013-2014",J$4="2012-2013"),"","2012-13 Total"))</f>
        <v>2012-13 Total</v>
      </c>
      <c r="J65" s="271">
        <f>IF(I65="","",'21. 12-13 Exc &amp; Adj'!B55)</f>
        <v>0</v>
      </c>
      <c r="K65" s="264"/>
      <c r="L65" s="256"/>
      <c r="M65" s="259" t="str">
        <f>IF(O$6="Met","",IF(OR(N$4="2018-2019",N$4="2017-2018",N$4="2016-2017",N$4="2015-2016",N$4="2014-2015",N$4="2013-2014",N$4="2012-2013"),"","2012-13 Total"))</f>
        <v>2012-13 Total</v>
      </c>
      <c r="N65" s="271">
        <f>IF(M65="","",'21. 12-13 Exc &amp; Adj'!B55)</f>
        <v>0</v>
      </c>
      <c r="O65" s="264"/>
      <c r="P65" s="256"/>
    </row>
    <row r="66" spans="1:16" x14ac:dyDescent="0.25">
      <c r="A66" s="283" t="str">
        <f>IF(C$6="Met","",IF(OR(B$4="2018-2019",B$4="2017-2018",B$4="2016-2017",B$4="2015-2016",B$4="2014-2015",B$4="2013-2014",B$4="2012-2013",B$4="2011-2012"),"","2011-12 Total"))</f>
        <v>2011-12 Total</v>
      </c>
      <c r="B66" s="268">
        <f>IF(A66="","",'20. 11-12 Exc &amp; Adj'!B55)</f>
        <v>0</v>
      </c>
      <c r="C66" s="264"/>
      <c r="D66" s="256"/>
      <c r="E66" s="391" t="str">
        <f>IF(G$6="Met","",IF(OR(F$4="2018-2019",F$4="2017-2018",F$4="2016-2017",F$4="2015-2016",F$4="2014-2015",F$4="2013-2014",F$4="2012-2013",F$4="2011-2012"),"","2011-12 Total"))</f>
        <v>2011-12 Total</v>
      </c>
      <c r="F66" s="271">
        <f>IF(E66="","",'20. 11-12 Exc &amp; Adj'!B55)</f>
        <v>0</v>
      </c>
      <c r="G66" s="264"/>
      <c r="H66" s="256"/>
      <c r="I66" s="391" t="str">
        <f>IF(K$6="Met","",IF(OR(J$4="2018-2019",J$4="2017-2018",J$4="2016-2017",J$4="2015-2016",J$4="2014-2015",J$4="2013-2014",J$4="2012-2013",J$4="2011-2012"),"","2011-12 Total"))</f>
        <v>2011-12 Total</v>
      </c>
      <c r="J66" s="271">
        <f>IF(I66="","",'20. 11-12 Exc &amp; Adj'!B55)</f>
        <v>0</v>
      </c>
      <c r="K66" s="264"/>
      <c r="L66" s="256"/>
      <c r="M66" s="391" t="str">
        <f>IF(O$6="Met","",IF(OR(N$4="2018-2019",N$4="2017-2018",N$4="2016-2017",N$4="2015-2016",N$4="2014-2015",N$4="2013-2014",N$4="2012-2013",N$4="2011-2012"),"","2011-12 Total"))</f>
        <v>2011-12 Total</v>
      </c>
      <c r="N66" s="271">
        <f>IF(M66="","",'20. 11-12 Exc &amp; Adj'!B55)</f>
        <v>0</v>
      </c>
      <c r="O66" s="264"/>
      <c r="P66" s="256"/>
    </row>
    <row r="67" spans="1:16" x14ac:dyDescent="0.25">
      <c r="A67" s="494" t="s">
        <v>219</v>
      </c>
      <c r="B67" s="495"/>
      <c r="C67" s="264"/>
      <c r="D67" s="256"/>
      <c r="E67" s="505" t="s">
        <v>219</v>
      </c>
      <c r="F67" s="506"/>
      <c r="G67" s="264"/>
      <c r="H67" s="256"/>
      <c r="I67" s="492" t="s">
        <v>219</v>
      </c>
      <c r="J67" s="493"/>
      <c r="K67" s="264"/>
      <c r="L67" s="256"/>
      <c r="M67" s="492" t="s">
        <v>219</v>
      </c>
      <c r="N67" s="493"/>
      <c r="O67" s="264"/>
      <c r="P67" s="256"/>
    </row>
    <row r="68" spans="1:16" x14ac:dyDescent="0.25">
      <c r="A68" s="250" t="s">
        <v>44</v>
      </c>
      <c r="B68" s="263"/>
      <c r="C68" s="264"/>
      <c r="D68" s="256"/>
      <c r="E68" s="250" t="s">
        <v>44</v>
      </c>
      <c r="F68" s="263"/>
      <c r="G68" s="264"/>
      <c r="H68" s="256"/>
      <c r="I68" s="250" t="s">
        <v>44</v>
      </c>
      <c r="J68" s="263"/>
      <c r="K68" s="264"/>
      <c r="L68" s="256"/>
      <c r="M68" s="250" t="s">
        <v>44</v>
      </c>
      <c r="N68" s="263"/>
      <c r="O68" s="264"/>
      <c r="P68" s="256"/>
    </row>
    <row r="69" spans="1:16" x14ac:dyDescent="0.25">
      <c r="A69" s="250" t="s">
        <v>222</v>
      </c>
      <c r="B69" s="263"/>
      <c r="C69" s="264"/>
      <c r="D69" s="256"/>
      <c r="E69" s="250" t="s">
        <v>222</v>
      </c>
      <c r="F69" s="263"/>
      <c r="G69" s="264"/>
      <c r="H69" s="256"/>
      <c r="I69" s="250" t="s">
        <v>222</v>
      </c>
      <c r="J69" s="263"/>
      <c r="K69" s="264"/>
      <c r="L69" s="256"/>
      <c r="M69" s="250" t="s">
        <v>222</v>
      </c>
      <c r="N69" s="263"/>
      <c r="O69" s="264"/>
      <c r="P69" s="256"/>
    </row>
    <row r="70" spans="1:16" x14ac:dyDescent="0.25">
      <c r="A70" s="281" t="s">
        <v>74</v>
      </c>
      <c r="B70" s="255" t="s">
        <v>75</v>
      </c>
      <c r="C70" s="264"/>
      <c r="D70" s="256"/>
      <c r="E70" s="254" t="s">
        <v>74</v>
      </c>
      <c r="F70" s="255" t="s">
        <v>75</v>
      </c>
      <c r="G70" s="264"/>
      <c r="H70" s="256"/>
      <c r="I70" s="254" t="s">
        <v>74</v>
      </c>
      <c r="J70" s="255" t="s">
        <v>75</v>
      </c>
      <c r="K70" s="264"/>
      <c r="L70" s="256"/>
      <c r="M70" s="254" t="s">
        <v>74</v>
      </c>
      <c r="N70" s="255" t="s">
        <v>75</v>
      </c>
      <c r="O70" s="264"/>
      <c r="P70" s="256"/>
    </row>
    <row r="71" spans="1:16" x14ac:dyDescent="0.25">
      <c r="A71" s="397" t="str">
        <f>IF(C$6="Met","","2019-20 Total")</f>
        <v>2019-20 Total</v>
      </c>
      <c r="B71" s="270">
        <f>IF(A71="","",IF($B$1="Eligibility",'19. 19-20 Exc &amp; Adj'!$B$66,IF($B$1="Compliance",'19. 19-20 Exc &amp; Adj'!$I$66)))</f>
        <v>0</v>
      </c>
      <c r="C71" s="264"/>
      <c r="D71" s="256"/>
      <c r="E71" s="321" t="str">
        <f>IF(G$6="Met","","2019-20 Total")</f>
        <v>2019-20 Total</v>
      </c>
      <c r="F71" s="270">
        <f>IF(E71="","",IF($B$1="Eligibility",'19. 19-20 Exc &amp; Adj'!$B$66,IF($B$1="Compliance",'19. 19-20 Exc &amp; Adj'!$I$66)))</f>
        <v>0</v>
      </c>
      <c r="G71" s="264"/>
      <c r="H71" s="256"/>
      <c r="I71" s="321" t="str">
        <f>IF(K$6="Met","","2019-20 Total")</f>
        <v>2019-20 Total</v>
      </c>
      <c r="J71" s="270">
        <f>IF(I71="","",IF($B$1="Eligibility",'19. 19-20 Exc &amp; Adj'!$B$66,IF($B$1="Compliance",'19. 19-20 Exc &amp; Adj'!$I$66)))</f>
        <v>0</v>
      </c>
      <c r="K71" s="264"/>
      <c r="L71" s="256"/>
      <c r="M71" s="321" t="str">
        <f>IF(O$6="Met","","2019-20 Total")</f>
        <v>2019-20 Total</v>
      </c>
      <c r="N71" s="270">
        <f>IF(M71="","",IF($B$1="Eligibility",'19. 19-20 Exc &amp; Adj'!$B$66,IF($B$1="Compliance",'19. 19-20 Exc &amp; Adj'!$I$66)))</f>
        <v>0</v>
      </c>
      <c r="O71" s="264"/>
      <c r="P71" s="256"/>
    </row>
    <row r="72" spans="1:16" x14ac:dyDescent="0.25">
      <c r="A72" s="397" t="str">
        <f>IF(C$6="Met","",IF(B$4="2018-2019","","2018-19 Total"))</f>
        <v>2018-19 Total</v>
      </c>
      <c r="B72" s="270">
        <f>IF(A72="","",IF($B$1="Eligibility",'16. 18-19 Exc &amp; Adj'!$B$66,IF($B$1="Compliance",'16. 18-19 Exc &amp; Adj'!$I$66)))</f>
        <v>0</v>
      </c>
      <c r="C72" s="264"/>
      <c r="E72" s="321" t="str">
        <f>IF(G$6="Met","",IF(F$4="2018-2019","","2018-19 Total"))</f>
        <v>2018-19 Total</v>
      </c>
      <c r="F72" s="270">
        <f>IF(E72="","",IF($B$1="Eligibility",'16. 18-19 Exc &amp; Adj'!$B$66,IF($B$1="Compliance",'16. 18-19 Exc &amp; Adj'!$I$66)))</f>
        <v>0</v>
      </c>
      <c r="G72" s="264"/>
      <c r="I72" s="321" t="str">
        <f>IF(K$6="Met","",IF(J$4="2018-2019","","2018-19 Total"))</f>
        <v>2018-19 Total</v>
      </c>
      <c r="J72" s="270">
        <f>IF(I72="","",IF($B$1="Eligibility",'16. 18-19 Exc &amp; Adj'!$B$66,IF($B$1="Compliance",'16. 18-19 Exc &amp; Adj'!$I$66)))</f>
        <v>0</v>
      </c>
      <c r="K72" s="264"/>
      <c r="L72" s="219"/>
      <c r="M72" s="321" t="str">
        <f>IF(O$6="Met","",IF(N$4="2018-2019","","2018-19 Total"))</f>
        <v>2018-19 Total</v>
      </c>
      <c r="N72" s="270">
        <f>IF(M72="","",IF($B$1="Eligibility",'16. 18-19 Exc &amp; Adj'!$B$66,IF($B$1="Compliance",'16. 18-19 Exc &amp; Adj'!$I$66)))</f>
        <v>0</v>
      </c>
      <c r="O72" s="264"/>
      <c r="P72" s="219"/>
    </row>
    <row r="73" spans="1:16" x14ac:dyDescent="0.25">
      <c r="A73" s="388" t="str">
        <f>IF(C$6="Met","",IF(OR(B$4="2018-2019",B$4="2017-2018"),"","2017-18 Total"))</f>
        <v>2017-18 Total</v>
      </c>
      <c r="B73" s="270">
        <f>IF(A73="","",'13. 17-18 Exc &amp; Adj'!$I$66)</f>
        <v>0</v>
      </c>
      <c r="C73" s="264"/>
      <c r="D73" s="272"/>
      <c r="E73" s="257" t="str">
        <f>IF(G$6="Met","",IF(OR(F$4="2018-2019",F$4="2017-2018"),"","2017-18 Total"))</f>
        <v>2017-18 Total</v>
      </c>
      <c r="F73" s="270">
        <f>IF(E73="","",'13. 17-18 Exc &amp; Adj'!$I$66)</f>
        <v>0</v>
      </c>
      <c r="G73" s="264"/>
      <c r="H73" s="272"/>
      <c r="I73" s="257" t="str">
        <f>IF(K$6="Met","",IF(OR(J$4="2018-2019",J$4="2017-2018"),"","2017-18 Total"))</f>
        <v>2017-18 Total</v>
      </c>
      <c r="J73" s="270">
        <f>IF(I73="","",'13. 17-18 Exc &amp; Adj'!$I$66)</f>
        <v>0</v>
      </c>
      <c r="K73" s="264"/>
      <c r="L73" s="272"/>
      <c r="M73" s="257" t="str">
        <f>IF(O$6="Met","",IF(OR(N$4="2018-2019",N$4="2017-2018"),"","2017-18 Total"))</f>
        <v>2017-18 Total</v>
      </c>
      <c r="N73" s="270">
        <f>IF(M73="","",'13. 17-18 Exc &amp; Adj'!$I$66)</f>
        <v>0</v>
      </c>
      <c r="O73" s="264"/>
      <c r="P73" s="272"/>
    </row>
    <row r="74" spans="1:16" x14ac:dyDescent="0.25">
      <c r="A74" s="388" t="str">
        <f>IF(C$6="Met","",IF(OR(B$4="2018-2019",B$4="2017-2018",B$4="2016-2017"),"","2016-17 Total"))</f>
        <v>2016-17 Total</v>
      </c>
      <c r="B74" s="270">
        <f>IF(A74="","",'10. 16-17 Exc &amp; Adj'!$I$66)</f>
        <v>0</v>
      </c>
      <c r="C74" s="264"/>
      <c r="D74" s="273"/>
      <c r="E74" s="257" t="str">
        <f>IF(G$6="Met","",IF(OR(F$4="2018-2019",F$4="2017-2018",F$4="2016-2017"),"","2016-17 Total"))</f>
        <v>2016-17 Total</v>
      </c>
      <c r="F74" s="270">
        <f>IF(E74="","",'10. 16-17 Exc &amp; Adj'!$I$66)</f>
        <v>0</v>
      </c>
      <c r="G74" s="264"/>
      <c r="H74" s="273"/>
      <c r="I74" s="257" t="str">
        <f>IF(K$6="Met","",IF(OR(J$4="2018-2019",J$4="2017-2018",J$4="2016-2017"),"","2016-17 Total"))</f>
        <v>2016-17 Total</v>
      </c>
      <c r="J74" s="270">
        <f>IF(I74="","",'10. 16-17 Exc &amp; Adj'!$I$66)</f>
        <v>0</v>
      </c>
      <c r="K74" s="264"/>
      <c r="L74" s="273"/>
      <c r="M74" s="257" t="str">
        <f>IF(O$6="Met","",IF(OR(N$4="2018-2019",N$4="2017-2018",N$4="2016-2017"),"","2016-17 Total"))</f>
        <v>2016-17 Total</v>
      </c>
      <c r="N74" s="270">
        <f>IF(M74="","",'10. 16-17 Exc &amp; Adj'!$I$66)</f>
        <v>0</v>
      </c>
      <c r="O74" s="264"/>
      <c r="P74" s="273"/>
    </row>
    <row r="75" spans="1:16" x14ac:dyDescent="0.25">
      <c r="A75" s="388" t="str">
        <f>IF(C$6="Met","",IF(OR(B$4="2018-2019",B$4="2017-2018",B$4="2016-2017",B$4="2015-2016"),"","2015-16 Total"))</f>
        <v>2015-16 Total</v>
      </c>
      <c r="B75" s="270">
        <f>IF(A75="","",'7. 15-16 Exc &amp; Adj'!$I$66)</f>
        <v>0</v>
      </c>
      <c r="C75" s="264"/>
      <c r="D75" s="220"/>
      <c r="E75" s="257" t="str">
        <f>IF(G$6="Met","",IF(OR(F$4="2018-2019",F$4="2017-2018",F$4="2016-2017",F$4="2015-2016"),"","2015-16 Total"))</f>
        <v>2015-16 Total</v>
      </c>
      <c r="F75" s="270">
        <f>IF(E75="","",'7. 15-16 Exc &amp; Adj'!$I$66)</f>
        <v>0</v>
      </c>
      <c r="G75" s="264"/>
      <c r="H75" s="220"/>
      <c r="I75" s="257" t="str">
        <f>IF(K$6="Met","",IF(OR(J$4="2018-2019",J$4="2017-2018",J$4="2016-2017",J$4="2015-2016"),"","2015-16 Total"))</f>
        <v>2015-16 Total</v>
      </c>
      <c r="J75" s="270">
        <f>IF(I75="","",'7. 15-16 Exc &amp; Adj'!$I$66)</f>
        <v>0</v>
      </c>
      <c r="K75" s="264"/>
      <c r="M75" s="257" t="str">
        <f>IF(O$6="Met","",IF(OR(N$4="2018-2019",N$4="2017-2018",N$4="2016-2017",N$4="2015-2016"),"","2015-16 Total"))</f>
        <v>2015-16 Total</v>
      </c>
      <c r="N75" s="270">
        <f>IF(M75="","",'7. 15-16 Exc &amp; Adj'!$I$66)</f>
        <v>0</v>
      </c>
      <c r="O75" s="264"/>
    </row>
    <row r="76" spans="1:16" x14ac:dyDescent="0.25">
      <c r="A76" s="388" t="str">
        <f>IF(C$6="Met","",IF(OR(B$4="2018-2019",B$4="2017-2018",B$4="2016-2017",B$4="2015-2016",B$4="2014-2015"),"","2014-15 Total"))</f>
        <v>2014-15 Total</v>
      </c>
      <c r="B76" s="270">
        <f>IF(A76="","",'23. 14-15 Exc &amp; Adj'!B65)</f>
        <v>0</v>
      </c>
      <c r="C76" s="264"/>
      <c r="E76" s="257" t="str">
        <f>IF(G$6="Met","",IF(OR(F$4="2018-2019",F$4="2017-2018",F$4="2016-2017",F$4="2015-2016",F$4="2014-2015"),"","2014-15 Total"))</f>
        <v>2014-15 Total</v>
      </c>
      <c r="F76" s="270">
        <f>IF(E76="","",'23. 14-15 Exc &amp; Adj'!B65)</f>
        <v>0</v>
      </c>
      <c r="G76" s="264"/>
      <c r="I76" s="257" t="str">
        <f>IF(K$6="Met","",IF(OR(J$4="2018-2019",J$4="2017-2018",J$4="2016-2017",J$4="2015-2016",J$4="2014-2015"),"","2014-15 Total"))</f>
        <v>2014-15 Total</v>
      </c>
      <c r="J76" s="270">
        <f>IF(I76="","",'23. 14-15 Exc &amp; Adj'!B65)</f>
        <v>0</v>
      </c>
      <c r="K76" s="264"/>
      <c r="M76" s="257" t="str">
        <f>IF(O$6="Met","",IF(OR(N$4="2018-2019",N$4="2017-2018",N$4="2016-2017",N$4="2015-2016",N$4="2014-2015"),"","2014-15 Total"))</f>
        <v>2014-15 Total</v>
      </c>
      <c r="N76" s="270">
        <f>IF(M76="","",'23. 14-15 Exc &amp; Adj'!B65)</f>
        <v>0</v>
      </c>
      <c r="O76" s="264"/>
      <c r="P76" s="219"/>
    </row>
    <row r="77" spans="1:16" x14ac:dyDescent="0.25">
      <c r="A77" s="288" t="str">
        <f>IF(C$6="Met","",IF(OR(B$4="2018-2019",B$4="2017-2018",B$4="2016-2017",B$4="2015-2016",B$4="2014-2015",B$4="2013-2014"),"","2013-14 Total"))</f>
        <v>2013-14 Total</v>
      </c>
      <c r="B77" s="270">
        <f>IF(A77="","",'22. 13-14 Exc &amp; Adj'!B65)</f>
        <v>0</v>
      </c>
      <c r="C77" s="264"/>
      <c r="E77" s="259" t="str">
        <f>IF(G$6="Met","",IF(OR(F$4="2018-2019",F$4="2017-2018",F$4="2016-2017",F$4="2015-2016",F$4="2014-2015",F$4="2013-2014"),"","2013-14 Total"))</f>
        <v>2013-14 Total</v>
      </c>
      <c r="F77" s="270">
        <f>IF(E77="","",'22. 13-14 Exc &amp; Adj'!B65)</f>
        <v>0</v>
      </c>
      <c r="G77" s="264"/>
      <c r="I77" s="259" t="str">
        <f>IF(K$6="Met","",IF(OR(J$4="2018-2019",J$4="2017-2018",J$4="2016-2017",J$4="2015-2016",J$4="2014-2015",J$4="2013-2014"),"","2013-14 Total"))</f>
        <v>2013-14 Total</v>
      </c>
      <c r="J77" s="270">
        <f>IF(I77="","",'22. 13-14 Exc &amp; Adj'!B65)</f>
        <v>0</v>
      </c>
      <c r="K77" s="264"/>
      <c r="M77" s="259" t="str">
        <f>IF(O$6="Met","",IF(OR(N$4="2018-2019",N$4="2017-2018",N$4="2016-2017",N$4="2015-2016",N$4="2014-2015",N$4="2013-2014"),"","2013-14 Total"))</f>
        <v>2013-14 Total</v>
      </c>
      <c r="N77" s="270">
        <f>IF(M77="","",'22. 13-14 Exc &amp; Adj'!B65)</f>
        <v>0</v>
      </c>
      <c r="O77" s="264"/>
      <c r="P77" s="219"/>
    </row>
    <row r="78" spans="1:16" x14ac:dyDescent="0.25">
      <c r="A78" s="389" t="str">
        <f>IF(C$6="Met","",IF(OR(B$4="2018-2019",B$4="2017-2018",B$4="2016-2017",B$4="2015-2016",B$4="2014-2015",B$4="2013-2014",B$4="2012-2013"),"","2012-13 Total"))</f>
        <v>2012-13 Total</v>
      </c>
      <c r="B78" s="271">
        <f>IF(A78="","",'21. 12-13 Exc &amp; Adj'!B65)</f>
        <v>0</v>
      </c>
      <c r="C78" s="264"/>
      <c r="E78" s="259" t="str">
        <f>IF(G$6="Met","",IF(OR(F$4="2018-2019",F$4="2017-2018",F$4="2016-2017",F$4="2015-2016",F$4="2014-2015",F$4="2013-2014",F$4="2012-2013"),"","2012-13 Total"))</f>
        <v>2012-13 Total</v>
      </c>
      <c r="F78" s="271">
        <f>IF(E78="","",'21. 12-13 Exc &amp; Adj'!B65)</f>
        <v>0</v>
      </c>
      <c r="G78" s="264"/>
      <c r="I78" s="259" t="str">
        <f>IF(K$6="Met","",IF(OR(J$4="2018-2019",J$4="2017-2018",J$4="2016-2017",J$4="2015-2016",J$4="2014-2015",J$4="2013-2014",J$4="2012-2013"),"","2012-13 Total"))</f>
        <v>2012-13 Total</v>
      </c>
      <c r="J78" s="271">
        <f>IF(I78="","",'21. 12-13 Exc &amp; Adj'!B65)</f>
        <v>0</v>
      </c>
      <c r="K78" s="264"/>
      <c r="L78" s="219"/>
      <c r="M78" s="259" t="str">
        <f>IF(O$6="Met","",IF(OR(N$4="2018-2019",N$4="2017-2018",N$4="2016-2017",N$4="2015-2016",N$4="2014-2015",N$4="2013-2014",N$4="2012-2013"),"","2012-13 Total"))</f>
        <v>2012-13 Total</v>
      </c>
      <c r="N78" s="271">
        <f>IF(M78="","",'21. 12-13 Exc &amp; Adj'!B65)</f>
        <v>0</v>
      </c>
      <c r="O78" s="264"/>
      <c r="P78" s="219"/>
    </row>
    <row r="79" spans="1:16" x14ac:dyDescent="0.25">
      <c r="A79" s="283" t="str">
        <f>IF(C$6="Met","",IF(OR(B$4="2018-2019",B$4="2017-2018",B$4="2016-2017",B$4="2015-2016",B$4="2014-2015",B$4="2013-2014",B$4="2012-2013",B$4="2011-2012"),"","2011-12 Total"))</f>
        <v>2011-12 Total</v>
      </c>
      <c r="B79" s="268">
        <f>IF(A79="","",'20. 11-12 Exc &amp; Adj'!B65)</f>
        <v>0</v>
      </c>
      <c r="C79" s="264"/>
      <c r="E79" s="267" t="str">
        <f>IF(G$6="Met","",IF(OR(F$4="2018-2019",F$4="2017-2018",F$4="2016-2017",F$4="2015-2016",F$4="2014-2015",F$4="2013-2014",F$4="2012-2013",F$4="2011-2012"),"","2011-12 Total"))</f>
        <v>2011-12 Total</v>
      </c>
      <c r="F79" s="268">
        <f>IF(E79="","",'20. 11-12 Exc &amp; Adj'!B65)</f>
        <v>0</v>
      </c>
      <c r="G79" s="264"/>
      <c r="I79" s="391" t="str">
        <f>IF(K$6="Met","",IF(OR(J$4="2018-2019",J$4="2017-2018",J$4="2016-2017",J$4="2015-2016",J$4="2014-2015",J$4="2013-2014",J$4="2012-2013",J$4="2011-2012"),"","2011-12 Total"))</f>
        <v>2011-12 Total</v>
      </c>
      <c r="J79" s="271">
        <f>IF(I79="","",'20. 11-12 Exc &amp; Adj'!B65)</f>
        <v>0</v>
      </c>
      <c r="K79" s="264"/>
      <c r="L79" s="219"/>
      <c r="M79" s="267" t="str">
        <f>IF(O$6="Met","",IF(OR(N$4="2018-2019",N$4="2017-2018",N$4="2016-2017",N$4="2015-2016",N$4="2014-2015",N$4="2013-2014",N$4="2012-2013",N$4="2011-2012"),"","2011-12 Total"))</f>
        <v>2011-12 Total</v>
      </c>
      <c r="N79" s="268">
        <f>IF(M79="","",'20. 11-12 Exc &amp; Adj'!B65)</f>
        <v>0</v>
      </c>
      <c r="O79" s="264"/>
      <c r="P79" s="219"/>
    </row>
    <row r="80" spans="1:16" x14ac:dyDescent="0.25">
      <c r="A80" s="494" t="s">
        <v>219</v>
      </c>
      <c r="B80" s="495"/>
      <c r="C80" s="264"/>
      <c r="E80" s="494" t="s">
        <v>219</v>
      </c>
      <c r="F80" s="495"/>
      <c r="G80" s="264"/>
      <c r="I80" s="492" t="s">
        <v>219</v>
      </c>
      <c r="J80" s="493"/>
      <c r="K80" s="264"/>
      <c r="L80" s="219"/>
      <c r="M80" s="507" t="s">
        <v>219</v>
      </c>
      <c r="N80" s="508"/>
      <c r="O80" s="264"/>
      <c r="P80" s="219"/>
    </row>
    <row r="81" spans="1:16" ht="16.5" thickBot="1" x14ac:dyDescent="0.3">
      <c r="A81" s="274" t="s">
        <v>77</v>
      </c>
      <c r="B81" s="318">
        <f>IF(C6="Met","",SUM(B17:B25,B29:B37,B45:B53,B58:B66,B71:B79))</f>
        <v>0</v>
      </c>
      <c r="C81" s="276"/>
      <c r="E81" s="274" t="s">
        <v>77</v>
      </c>
      <c r="F81" s="318">
        <f>IF(G6="Met","",SUM(F17:F25,F29:F37,F45:F53,F58:F66,F71:F79))</f>
        <v>0</v>
      </c>
      <c r="G81" s="276"/>
      <c r="I81" s="277" t="s">
        <v>101</v>
      </c>
      <c r="J81" s="101">
        <f>IF(K6="Met","",IF('3. Getting Started'!B7="No",SUM(J17:J25,J45:J53,J58:J66,J71:J79),IF('3. Getting Started'!B7="Yes",SUM(J17:J25,J29:J37,J45:J53,J58:J66,J71:J79),0)))</f>
        <v>0</v>
      </c>
      <c r="K81" s="264"/>
      <c r="L81" s="219"/>
      <c r="M81" s="277" t="s">
        <v>101</v>
      </c>
      <c r="N81" s="101">
        <f>IF(O6="Met","",IF('3. Getting Started'!B7="No",SUM(N17:N25,N45:N53,N58:N66,N71:N79),IF('3. Getting Started'!B7="Yes",SUM(N17:N25,N29:N37,N45:N53,N58:N66,N71:N79),0)))</f>
        <v>0</v>
      </c>
      <c r="O81" s="264"/>
      <c r="P81" s="219"/>
    </row>
    <row r="82" spans="1:16" ht="16.5" thickBot="1" x14ac:dyDescent="0.3">
      <c r="A82" s="490" t="s">
        <v>219</v>
      </c>
      <c r="B82" s="490"/>
      <c r="C82" s="490"/>
      <c r="E82" s="490" t="s">
        <v>219</v>
      </c>
      <c r="F82" s="490"/>
      <c r="G82" s="490"/>
      <c r="I82" s="274" t="s">
        <v>100</v>
      </c>
      <c r="J82" s="319" t="str">
        <f>IF(J99=0,"",IF(K6="Met","",IF('3. Getting Started'!B7="No",((J81/J99)+SUM(J29:J37)),IF('3. Getting Started'!B7="Yes",(J81/J99)))))</f>
        <v/>
      </c>
      <c r="K82" s="276"/>
      <c r="L82" s="219"/>
      <c r="M82" s="274" t="s">
        <v>100</v>
      </c>
      <c r="N82" s="319" t="str">
        <f>IF(N99=0,"",IF(O6="Met","",IF('3. Getting Started'!B7="No",((N81/N99)+SUM(N29:N37)),IF('3. Getting Started'!B7="Yes",(N81/N99)))))</f>
        <v/>
      </c>
      <c r="O82" s="276"/>
      <c r="P82" s="219"/>
    </row>
    <row r="83" spans="1:16" ht="19.5" thickBot="1" x14ac:dyDescent="0.3">
      <c r="A83" s="278" t="s">
        <v>11</v>
      </c>
      <c r="B83" s="279"/>
      <c r="C83" s="280"/>
      <c r="E83" s="278" t="s">
        <v>11</v>
      </c>
      <c r="F83" s="279"/>
      <c r="G83" s="280"/>
      <c r="I83" s="490" t="s">
        <v>219</v>
      </c>
      <c r="J83" s="490"/>
      <c r="K83" s="490"/>
      <c r="L83" s="219"/>
      <c r="M83" s="490" t="s">
        <v>219</v>
      </c>
      <c r="N83" s="490"/>
      <c r="O83" s="490"/>
      <c r="P83" s="219"/>
    </row>
    <row r="84" spans="1:16" ht="18.75" x14ac:dyDescent="0.25">
      <c r="A84" s="254" t="s">
        <v>74</v>
      </c>
      <c r="B84" s="255" t="s">
        <v>75</v>
      </c>
      <c r="C84" s="282"/>
      <c r="E84" s="254" t="s">
        <v>74</v>
      </c>
      <c r="F84" s="255" t="s">
        <v>75</v>
      </c>
      <c r="G84" s="282"/>
      <c r="I84" s="278" t="s">
        <v>11</v>
      </c>
      <c r="J84" s="279"/>
      <c r="K84" s="280"/>
      <c r="L84" s="219"/>
      <c r="M84" s="278" t="s">
        <v>11</v>
      </c>
      <c r="N84" s="279"/>
      <c r="O84" s="280"/>
      <c r="P84" s="219"/>
    </row>
    <row r="85" spans="1:16" x14ac:dyDescent="0.25">
      <c r="A85" s="267" t="str">
        <f>IF(C$6="Met","","2019-20 Adjustment")</f>
        <v>2019-20 Adjustment</v>
      </c>
      <c r="B85" s="270">
        <f>IF(A85="","",IF($B$1="Eligibility",'19. 19-20 Exc &amp; Adj'!$B$70,IF($B$1="Compliance",'19. 19-20 Exc &amp; Adj'!$I$70)))</f>
        <v>0</v>
      </c>
      <c r="C85" s="320"/>
      <c r="E85" s="267" t="str">
        <f>IF(G$6="Met","","2019-20 Adjustment")</f>
        <v>2019-20 Adjustment</v>
      </c>
      <c r="F85" s="270">
        <f>IF(E85="","",IF($B$1="Eligibility",'19. 19-20 Exc &amp; Adj'!$B$70,IF($B$1="Compliance",'19. 19-20 Exc &amp; Adj'!$I$70)))</f>
        <v>0</v>
      </c>
      <c r="G85" s="320"/>
      <c r="I85" s="254" t="s">
        <v>74</v>
      </c>
      <c r="J85" s="255" t="s">
        <v>75</v>
      </c>
      <c r="K85" s="282"/>
      <c r="L85" s="219"/>
      <c r="M85" s="254" t="s">
        <v>74</v>
      </c>
      <c r="N85" s="255" t="s">
        <v>75</v>
      </c>
      <c r="O85" s="282"/>
      <c r="P85" s="219"/>
    </row>
    <row r="86" spans="1:16" x14ac:dyDescent="0.25">
      <c r="A86" s="267" t="str">
        <f>IF(C$6="Met","",IF(B$4="2018-2019","","2018-19 Adjustment"))</f>
        <v>2018-19 Adjustment</v>
      </c>
      <c r="B86" s="270">
        <f>IF(A86="","",IF($B$1="Eligibility",'16. 18-19 Exc &amp; Adj'!$B$70,IF($B$1="Compliance",'16. 18-19 Exc &amp; Adj'!$I$70)))</f>
        <v>0</v>
      </c>
      <c r="C86" s="320"/>
      <c r="E86" s="267" t="str">
        <f>IF(G$6="Met","",IF(F$4="2018-2019","","2018-19 Adjustment"))</f>
        <v>2018-19 Adjustment</v>
      </c>
      <c r="F86" s="270">
        <f>IF(E86="","",IF($B$1="Eligibility",'16. 18-19 Exc &amp; Adj'!$B$70,IF($B$1="Compliance",'16. 18-19 Exc &amp; Adj'!$I$70)))</f>
        <v>0</v>
      </c>
      <c r="G86" s="320"/>
      <c r="I86" s="267" t="str">
        <f>IF(K$6="Met","","2019-20 Adjustment")</f>
        <v>2019-20 Adjustment</v>
      </c>
      <c r="J86" s="270">
        <f>IF(I86="","",IF($B$1="Eligibility",'19. 19-20 Exc &amp; Adj'!$B$70,IF($B$1="Compliance",'19. 19-20 Exc &amp; Adj'!$I$70)))</f>
        <v>0</v>
      </c>
      <c r="K86" s="320"/>
      <c r="L86" s="219"/>
      <c r="M86" s="267" t="str">
        <f>IF(O$6="Met","","2019-20 Adjustment")</f>
        <v>2019-20 Adjustment</v>
      </c>
      <c r="N86" s="270">
        <f>IF(M86="","",IF($B$1="Eligibility",'19. 19-20 Exc &amp; Adj'!$B$70,IF($B$1="Compliance",'19. 19-20 Exc &amp; Adj'!$I$70)))</f>
        <v>0</v>
      </c>
      <c r="O86" s="320"/>
      <c r="P86" s="219"/>
    </row>
    <row r="87" spans="1:16" x14ac:dyDescent="0.25">
      <c r="A87" s="267" t="str">
        <f>IF(C$6="Met","",IF(OR(B$4="2018-2019",B$4="2017-2018"),"","2017-18 Adjustment"))</f>
        <v>2017-18 Adjustment</v>
      </c>
      <c r="B87" s="270">
        <f>IF(A87="","",'13. 17-18 Exc &amp; Adj'!$I$70)</f>
        <v>0</v>
      </c>
      <c r="C87" s="320"/>
      <c r="E87" s="267" t="str">
        <f>IF(G$6="Met","",IF(OR(F$4="2018-2019",F$4="2017-2018"),"","2017-18 Adjustment"))</f>
        <v>2017-18 Adjustment</v>
      </c>
      <c r="F87" s="270">
        <f>IF(E87="","",'13. 17-18 Exc &amp; Adj'!$I$70)</f>
        <v>0</v>
      </c>
      <c r="G87" s="320"/>
      <c r="I87" s="267" t="str">
        <f>IF(K$6="Met","",IF(J$4="2018-2019","","2018-19 Adjustment"))</f>
        <v>2018-19 Adjustment</v>
      </c>
      <c r="J87" s="270">
        <f>IF(I87="","",IF($B$1="Eligibility",'16. 18-19 Exc &amp; Adj'!$B$70,IF($B$1="Compliance",'16. 18-19 Exc &amp; Adj'!$I$70)))</f>
        <v>0</v>
      </c>
      <c r="K87" s="320"/>
      <c r="L87" s="219"/>
      <c r="M87" s="267" t="str">
        <f>IF(O$6="Met","",IF(N$4="2018-2019","","2018-19 Adjustment"))</f>
        <v>2018-19 Adjustment</v>
      </c>
      <c r="N87" s="270">
        <f>IF(M87="","",IF($B$1="Eligibility",'16. 18-19 Exc &amp; Adj'!$B$70,IF($B$1="Compliance",'16. 18-19 Exc &amp; Adj'!$I$70)))</f>
        <v>0</v>
      </c>
      <c r="O87" s="320"/>
      <c r="P87" s="219"/>
    </row>
    <row r="88" spans="1:16" x14ac:dyDescent="0.25">
      <c r="A88" s="267" t="str">
        <f>IF(C$6="Met","",IF(OR(B$4="2018-2019",B$4="2017-2018",B$4="2016-2017"),"","2016-17 Adjustment"))</f>
        <v>2016-17 Adjustment</v>
      </c>
      <c r="B88" s="270">
        <f>IF(A88="","",'10. 16-17 Exc &amp; Adj'!$I$70)</f>
        <v>0</v>
      </c>
      <c r="C88" s="284"/>
      <c r="E88" s="267" t="str">
        <f>IF(G$6="Met","",IF(OR(F$4="2018-2019",F$4="2017-2018",F$4="2016-2017"),"","2016-17 Adjustment"))</f>
        <v>2016-17 Adjustment</v>
      </c>
      <c r="F88" s="270">
        <f>IF(E88="","",'10. 16-17 Exc &amp; Adj'!$I$70)</f>
        <v>0</v>
      </c>
      <c r="G88" s="284"/>
      <c r="I88" s="267" t="str">
        <f>IF(K$6="Met","",IF(OR(J$4="2018-2019",J$4="2017-2018"),"","2017-18 Adjustment"))</f>
        <v>2017-18 Adjustment</v>
      </c>
      <c r="J88" s="270">
        <f>IF(I88="","",'13. 17-18 Exc &amp; Adj'!$I$70)</f>
        <v>0</v>
      </c>
      <c r="K88" s="320"/>
      <c r="L88" s="219"/>
      <c r="M88" s="267" t="str">
        <f>IF(O$6="Met","",IF(OR(N$4="2018-2019",N$4="2017-2018"),"","2017-18 Adjustment"))</f>
        <v>2017-18 Adjustment</v>
      </c>
      <c r="N88" s="270">
        <f>IF(M88="","",'13. 17-18 Exc &amp; Adj'!$I$70)</f>
        <v>0</v>
      </c>
      <c r="O88" s="320"/>
      <c r="P88" s="219"/>
    </row>
    <row r="89" spans="1:16" x14ac:dyDescent="0.25">
      <c r="A89" s="257" t="str">
        <f>IF(C$6="Met","",IF(OR(B$4="2018-2019",B$4="2017-2018",B$4="2016-2017",B$4="2015-2016"),"","2015-16 Adjustment"))</f>
        <v>2015-16 Adjustment</v>
      </c>
      <c r="B89" s="270">
        <f>IF(A89="","",'7. 15-16 Exc &amp; Adj'!$I$70)</f>
        <v>0</v>
      </c>
      <c r="C89" s="284"/>
      <c r="E89" s="257" t="str">
        <f>IF(G$6="Met","",IF(OR(F$4="2018-2019",F$4="2017-2018",F$4="2016-2017",F$4="2015-2016"),"","2015-16 Adjustment"))</f>
        <v>2015-16 Adjustment</v>
      </c>
      <c r="F89" s="270">
        <f>IF(E89="","",'7. 15-16 Exc &amp; Adj'!$I$70)</f>
        <v>0</v>
      </c>
      <c r="G89" s="284"/>
      <c r="I89" s="267" t="str">
        <f>IF(K$6="Met","",IF(OR(J$4="2018-2019",J$4="2017-2018",J$4="2016-2017"),"","2016-17 Adjustment"))</f>
        <v>2016-17 Adjustment</v>
      </c>
      <c r="J89" s="270">
        <f>IF(I89="","",'10. 16-17 Exc &amp; Adj'!$I$70)</f>
        <v>0</v>
      </c>
      <c r="K89" s="284"/>
      <c r="L89" s="219"/>
      <c r="M89" s="267" t="str">
        <f>IF(O$6="Met","",IF(OR(N$4="2018-2019",N$4="2017-2018",N$4="2016-2017"),"","2016-17 Adjustment"))</f>
        <v>2016-17 Adjustment</v>
      </c>
      <c r="N89" s="270">
        <f>IF(M89="","",'10. 16-17 Exc &amp; Adj'!$I$70)</f>
        <v>0</v>
      </c>
      <c r="O89" s="284"/>
      <c r="P89" s="219"/>
    </row>
    <row r="90" spans="1:16" x14ac:dyDescent="0.25">
      <c r="A90" s="257" t="str">
        <f>IF(C$6="Met","",IF(OR(B$4="2018-2019",B$4="2017-2018",B$4="2016-2017",B$4="2015-2016",B$4="2014-2015"),"","2014-15 Adjustment"))</f>
        <v>2014-15 Adjustment</v>
      </c>
      <c r="B90" s="270">
        <f>IF(A90="","",'23. 14-15 Exc &amp; Adj'!B69)</f>
        <v>0</v>
      </c>
      <c r="C90" s="284"/>
      <c r="E90" s="257" t="str">
        <f>IF(G$6="Met","",IF(OR(F$4="2018-2019",F$4="2017-2018",F$4="2016-2017",F$4="2015-2016",F$4="2014-2015"),"","2014-15 Adjustment"))</f>
        <v>2014-15 Adjustment</v>
      </c>
      <c r="F90" s="270">
        <f>IF(E90="","",'23. 14-15 Exc &amp; Adj'!B69)</f>
        <v>0</v>
      </c>
      <c r="G90" s="284"/>
      <c r="I90" s="257" t="str">
        <f>IF(K$6="Met","",IF(OR(J$4="2018-2019",J$4="2017-2018",J$4="2016-2017",J$4="2015-2016"),"","2015-16 Adjustment"))</f>
        <v>2015-16 Adjustment</v>
      </c>
      <c r="J90" s="270">
        <f>IF(I90="","",'7. 15-16 Exc &amp; Adj'!$I$70)</f>
        <v>0</v>
      </c>
      <c r="K90" s="284"/>
      <c r="L90" s="219"/>
      <c r="M90" s="257" t="str">
        <f>IF(O$6="Met","",IF(OR(N$4="2018-2019",N$4="2017-2018",N$4="2016-2017",N$4="2015-2016"),"","2015-16 Adjustment"))</f>
        <v>2015-16 Adjustment</v>
      </c>
      <c r="N90" s="270">
        <f>IF(M90="","",'7. 15-16 Exc &amp; Adj'!$I$70)</f>
        <v>0</v>
      </c>
      <c r="O90" s="284"/>
    </row>
    <row r="91" spans="1:16" x14ac:dyDescent="0.25">
      <c r="A91" s="259" t="str">
        <f>IF(C$6="Met","",IF(OR(B$4="2018-2019",B$4="2017-2018",B$4="2016-2017",B$4="2015-2016",B$4="2014-2015",B$4="2013-2014"),"","2013-14 Adjustment"))</f>
        <v>2013-14 Adjustment</v>
      </c>
      <c r="B91" s="270">
        <f>IF(A91="","",'22. 13-14 Exc &amp; Adj'!B69)</f>
        <v>0</v>
      </c>
      <c r="C91" s="284"/>
      <c r="E91" s="259" t="str">
        <f>IF(G$6="Met","",IF(OR(F$4="2018-2019",F$4="2017-2018",F$4="2016-2017",F$4="2015-2016",F$4="2014-2015",F$4="2013-2014"),"","2013-14 Adjustment"))</f>
        <v>2013-14 Adjustment</v>
      </c>
      <c r="F91" s="270">
        <f>IF(E91="","",'22. 13-14 Exc &amp; Adj'!B69)</f>
        <v>0</v>
      </c>
      <c r="G91" s="284"/>
      <c r="I91" s="257" t="str">
        <f>IF(K$6="Met","",IF(OR(J$4="2018-2019",J$4="2017-2018",J$4="2016-2017",J$4="2015-2016",J$4="2014-2015"),"","2014-15 Adjustment"))</f>
        <v>2014-15 Adjustment</v>
      </c>
      <c r="J91" s="270">
        <f>IF(I91="","",'23. 14-15 Exc &amp; Adj'!B69)</f>
        <v>0</v>
      </c>
      <c r="K91" s="284"/>
      <c r="L91" s="219"/>
      <c r="M91" s="257" t="str">
        <f>IF(O$6="Met","",IF(OR(N$4="2018-2019",N$4="2017-2018",N$4="2016-2017",N$4="2015-2016",N$4="2014-2015"),"","2014-15 Adjustment"))</f>
        <v>2014-15 Adjustment</v>
      </c>
      <c r="N91" s="270">
        <f>IF(M91="","",'23. 14-15 Exc &amp; Adj'!B69)</f>
        <v>0</v>
      </c>
      <c r="O91" s="284"/>
    </row>
    <row r="92" spans="1:16" x14ac:dyDescent="0.25">
      <c r="A92" s="260" t="str">
        <f>IF(C$6="Met","",IF(OR(B$4="2018-2019",B$4="2017-2018",B$4="2016-2017",B$4="2015-2016",B$4="2014-2015",B$4="2013-2014",B$4="2012-2013"),"","2012-13 Adjustment"))</f>
        <v>2012-13 Adjustment</v>
      </c>
      <c r="B92" s="271">
        <f>IF(A92="","",'21. 12-13 Exc &amp; Adj'!B69)</f>
        <v>0</v>
      </c>
      <c r="C92" s="284"/>
      <c r="E92" s="260" t="str">
        <f>IF(G$6="Met","",IF(OR(F$4="2018-2019",F$4="2017-2018",F$4="2016-2017",F$4="2015-2016",F$4="2014-2015",F$4="2013-2014",F$4="2012-2013"),"","2012-13 Adjustment"))</f>
        <v>2012-13 Adjustment</v>
      </c>
      <c r="F92" s="271">
        <f>IF(E92="","",'21. 12-13 Exc &amp; Adj'!B69)</f>
        <v>0</v>
      </c>
      <c r="G92" s="284"/>
      <c r="I92" s="259" t="str">
        <f>IF(K$6="Met","",IF(OR(J$4="2018-2019",J$4="2017-2018",J$4="2016-2017",J$4="2015-2016",J$4="2014-2015",J$4="2013-2014"),"","2013-14 Adjustment"))</f>
        <v>2013-14 Adjustment</v>
      </c>
      <c r="J92" s="270">
        <f>IF(I92="","",'22. 13-14 Exc &amp; Adj'!B69)</f>
        <v>0</v>
      </c>
      <c r="K92" s="284"/>
      <c r="M92" s="259" t="str">
        <f>IF(O$6="Met","",IF(OR(N$4="2018-2019",N$4="2017-2018",N$4="2016-2017",N$4="2015-2016",N$4="2014-2015",N$4="2013-2014"),"","2013-14 Adjustment"))</f>
        <v>2013-14 Adjustment</v>
      </c>
      <c r="N92" s="270">
        <f>IF(M92="","",'22. 13-14 Exc &amp; Adj'!B69)</f>
        <v>0</v>
      </c>
      <c r="O92" s="284"/>
    </row>
    <row r="93" spans="1:16" x14ac:dyDescent="0.25">
      <c r="A93" s="391" t="str">
        <f>IF(C$6="Met","",IF(OR(B$4="2018-2019",B$4="2017-2018",B$4="2016-2017",B$4="2015-2016",B$4="2014-2015",B$4="2013-2014",B$4="2012-2013",B$4="2011-2012"),"","2011-12 Adjustment"))</f>
        <v>2011-12 Adjustment</v>
      </c>
      <c r="B93" s="271">
        <f>IF(A93="","",'20. 11-12 Exc &amp; Adj'!B69)</f>
        <v>0</v>
      </c>
      <c r="C93" s="284"/>
      <c r="E93" s="391" t="str">
        <f>IF(G$6="Met","",IF(OR(F$4="2018-2019",F$4="2017-2018",F$4="2016-2017",F$4="2015-2016",F$4="2014-2015",F$4="2013-2014",F$4="2012-2013",F$4="2011-2012"),"","2011-12 Adjustment"))</f>
        <v>2011-12 Adjustment</v>
      </c>
      <c r="F93" s="271">
        <f>IF(E93="","",'20. 11-12 Exc &amp; Adj'!B69)</f>
        <v>0</v>
      </c>
      <c r="G93" s="284"/>
      <c r="I93" s="260" t="str">
        <f>IF(K$6="Met","",IF(OR(J$4="2018-2019",J$4="2017-2018",J$4="2016-2017",J$4="2015-2016",J$4="2014-2015",J$4="2013-2014",J$4="2012-2013"),"","2012-13 Adjustment"))</f>
        <v>2012-13 Adjustment</v>
      </c>
      <c r="J93" s="271">
        <f>IF(I93="","",'21. 12-13 Exc &amp; Adj'!B69)</f>
        <v>0</v>
      </c>
      <c r="K93" s="284"/>
      <c r="M93" s="260" t="str">
        <f>IF(O$6="Met","",IF(OR(N$4="2018-2019",N$4="2017-2018",N$4="2016-2017",N$4="2015-2016",N$4="2014-2015",N$4="2013-2014",N$4="2012-2013"),"","2012-13 Adjustment"))</f>
        <v>2012-13 Adjustment</v>
      </c>
      <c r="N93" s="271">
        <f>IF(M93="","",'21. 12-13 Exc &amp; Adj'!B69)</f>
        <v>0</v>
      </c>
      <c r="O93" s="284"/>
    </row>
    <row r="94" spans="1:16" x14ac:dyDescent="0.25">
      <c r="A94" s="489" t="s">
        <v>219</v>
      </c>
      <c r="B94" s="489"/>
      <c r="C94" s="284"/>
      <c r="E94" s="488" t="s">
        <v>219</v>
      </c>
      <c r="F94" s="489"/>
      <c r="G94" s="284"/>
      <c r="I94" s="391" t="str">
        <f>IF(K$6="Met","",IF(OR(J$4="2018-2019",J$4="2017-2018",J$4="2016-2017",J$4="2015-2016",J$4="2014-2015",J$4="2013-2014",J$4="2012-2013",J$4="2011-2012"),"","2011-12 Adjustment"))</f>
        <v>2011-12 Adjustment</v>
      </c>
      <c r="J94" s="271">
        <f>IF(I94="","",'20. 11-12 Exc &amp; Adj'!B69)</f>
        <v>0</v>
      </c>
      <c r="K94" s="284"/>
      <c r="M94" s="391" t="str">
        <f>IF(O$6="Met","",IF(OR(N$4="2018-2019",N$4="2017-2018",N$4="2016-2017",N$4="2015-2016",N$4="2014-2015",N$4="2013-2014",N$4="2012-2013",N$4="2011-2012"),"","2011-12 Adjustment"))</f>
        <v>2011-12 Adjustment</v>
      </c>
      <c r="N94" s="271">
        <f>IF(M94="","",'20. 11-12 Exc &amp; Adj'!B69)</f>
        <v>0</v>
      </c>
      <c r="O94" s="284"/>
    </row>
    <row r="95" spans="1:16" ht="16.5" thickBot="1" x14ac:dyDescent="0.3">
      <c r="A95" s="274" t="s">
        <v>78</v>
      </c>
      <c r="B95" s="318">
        <f>SUM(B85:B93)</f>
        <v>0</v>
      </c>
      <c r="C95" s="285"/>
      <c r="E95" s="274" t="s">
        <v>78</v>
      </c>
      <c r="F95" s="318">
        <f>SUM(F85:F93)</f>
        <v>0</v>
      </c>
      <c r="G95" s="285"/>
      <c r="I95" s="488" t="s">
        <v>219</v>
      </c>
      <c r="J95" s="489"/>
      <c r="K95" s="284"/>
      <c r="M95" s="488" t="s">
        <v>219</v>
      </c>
      <c r="N95" s="489"/>
      <c r="O95" s="284"/>
    </row>
    <row r="96" spans="1:16" x14ac:dyDescent="0.25">
      <c r="I96" s="277" t="s">
        <v>102</v>
      </c>
      <c r="J96" s="101">
        <f>SUM(J86:J94)</f>
        <v>0</v>
      </c>
      <c r="K96" s="284"/>
      <c r="M96" s="277" t="s">
        <v>102</v>
      </c>
      <c r="N96" s="101">
        <f>SUM(N86:N94)</f>
        <v>0</v>
      </c>
      <c r="O96" s="284"/>
    </row>
    <row r="97" spans="1:15" ht="16.5" thickBot="1" x14ac:dyDescent="0.3">
      <c r="A97" s="428" t="s">
        <v>258</v>
      </c>
      <c r="I97" s="274" t="s">
        <v>103</v>
      </c>
      <c r="J97" s="275" t="str">
        <f>IF(J99=0,"",J96/J99)</f>
        <v/>
      </c>
      <c r="K97" s="285"/>
      <c r="M97" s="274" t="s">
        <v>103</v>
      </c>
      <c r="N97" s="275" t="str">
        <f>IF(N99=0,"",N96/N99)</f>
        <v/>
      </c>
      <c r="O97" s="285"/>
    </row>
    <row r="98" spans="1:15" x14ac:dyDescent="0.25">
      <c r="A98" s="427" t="s">
        <v>252</v>
      </c>
      <c r="I98" s="496" t="s">
        <v>219</v>
      </c>
      <c r="J98" s="496"/>
      <c r="K98" s="496"/>
      <c r="M98" s="496" t="s">
        <v>219</v>
      </c>
      <c r="N98" s="496"/>
      <c r="O98" s="496"/>
    </row>
    <row r="99" spans="1:15" x14ac:dyDescent="0.25">
      <c r="I99" s="286" t="s">
        <v>99</v>
      </c>
      <c r="J99" s="479">
        <f>LOOKUP(J4,'4. Multi-Year MOE Summary'!$A$3:$A$12,'4. Multi-Year MOE Summary'!$C$3:$C$12)</f>
        <v>0</v>
      </c>
      <c r="M99" s="286" t="s">
        <v>99</v>
      </c>
      <c r="N99" s="479">
        <f>LOOKUP(N4,'4. Multi-Year MOE Summary'!$A$3:$A$12,'4. Multi-Year MOE Summary'!$C$3:$C$12)</f>
        <v>0</v>
      </c>
    </row>
    <row r="100" spans="1:15" x14ac:dyDescent="0.25">
      <c r="A100" s="497" t="s">
        <v>221</v>
      </c>
      <c r="B100" s="497"/>
      <c r="C100" s="497"/>
      <c r="D100" s="497"/>
      <c r="E100" s="497"/>
      <c r="F100" s="497"/>
      <c r="G100" s="497"/>
      <c r="H100" s="497"/>
      <c r="I100" s="497"/>
      <c r="J100" s="497"/>
      <c r="K100" s="497"/>
      <c r="L100" s="497"/>
      <c r="M100" s="497"/>
      <c r="N100" s="497"/>
      <c r="O100" s="497"/>
    </row>
  </sheetData>
  <sheetProtection algorithmName="SHA-512" hashValue="QtVa/T4jDd5j3WeYSWLu7m3sBQQUh4txuxS84O2I96AR0PLihnLY+sLDHzY+TlATsAnTAGOMFJhrzAInjvNHoQ==" saltValue="KAxDHLc4WQLYcaiLNj7LQw==" spinCount="100000" sheet="1" objects="1" scenarios="1"/>
  <mergeCells count="35">
    <mergeCell ref="M54:N54"/>
    <mergeCell ref="M38:N38"/>
    <mergeCell ref="M26:N26"/>
    <mergeCell ref="M12:O12"/>
    <mergeCell ref="A100:O100"/>
    <mergeCell ref="I67:J67"/>
    <mergeCell ref="I80:J80"/>
    <mergeCell ref="I83:K83"/>
    <mergeCell ref="I95:J95"/>
    <mergeCell ref="I98:K98"/>
    <mergeCell ref="M98:O98"/>
    <mergeCell ref="M95:N95"/>
    <mergeCell ref="M83:O83"/>
    <mergeCell ref="M80:N80"/>
    <mergeCell ref="M67:N67"/>
    <mergeCell ref="E54:F54"/>
    <mergeCell ref="E38:F38"/>
    <mergeCell ref="E26:F26"/>
    <mergeCell ref="E12:G12"/>
    <mergeCell ref="J12:K12"/>
    <mergeCell ref="I26:J26"/>
    <mergeCell ref="I38:J38"/>
    <mergeCell ref="I54:J54"/>
    <mergeCell ref="A82:C82"/>
    <mergeCell ref="A94:B94"/>
    <mergeCell ref="E94:F94"/>
    <mergeCell ref="E82:G82"/>
    <mergeCell ref="E80:F80"/>
    <mergeCell ref="E67:F67"/>
    <mergeCell ref="A80:B80"/>
    <mergeCell ref="A12:C12"/>
    <mergeCell ref="A26:B26"/>
    <mergeCell ref="A38:B38"/>
    <mergeCell ref="A54:B54"/>
    <mergeCell ref="A67:B67"/>
  </mergeCells>
  <conditionalFormatting sqref="A17:B25">
    <cfRule type="containsBlanks" dxfId="681" priority="64">
      <formula>LEN(TRIM(A17))=0</formula>
    </cfRule>
  </conditionalFormatting>
  <conditionalFormatting sqref="E17:F25">
    <cfRule type="containsBlanks" dxfId="680" priority="63">
      <formula>LEN(TRIM(E17))=0</formula>
    </cfRule>
  </conditionalFormatting>
  <conditionalFormatting sqref="I17:J25">
    <cfRule type="containsBlanks" dxfId="679" priority="62">
      <formula>LEN(TRIM(I17))=0</formula>
    </cfRule>
  </conditionalFormatting>
  <conditionalFormatting sqref="M17:N25">
    <cfRule type="containsBlanks" dxfId="678" priority="61">
      <formula>LEN(TRIM(M17))=0</formula>
    </cfRule>
  </conditionalFormatting>
  <conditionalFormatting sqref="A29:B37">
    <cfRule type="containsBlanks" dxfId="677" priority="60">
      <formula>LEN(TRIM(A29))=0</formula>
    </cfRule>
  </conditionalFormatting>
  <conditionalFormatting sqref="E29:F37">
    <cfRule type="containsBlanks" dxfId="676" priority="59">
      <formula>LEN(TRIM(E29))=0</formula>
    </cfRule>
  </conditionalFormatting>
  <conditionalFormatting sqref="I29:J37">
    <cfRule type="containsBlanks" dxfId="675" priority="58">
      <formula>LEN(TRIM(I29))=0</formula>
    </cfRule>
  </conditionalFormatting>
  <conditionalFormatting sqref="M29:N37">
    <cfRule type="containsBlanks" dxfId="674" priority="57">
      <formula>LEN(TRIM(M29))=0</formula>
    </cfRule>
  </conditionalFormatting>
  <conditionalFormatting sqref="A45:B53">
    <cfRule type="containsBlanks" dxfId="673" priority="56">
      <formula>LEN(TRIM(A45))=0</formula>
    </cfRule>
  </conditionalFormatting>
  <conditionalFormatting sqref="E45:F53">
    <cfRule type="containsBlanks" dxfId="672" priority="55">
      <formula>LEN(TRIM(E45))=0</formula>
    </cfRule>
  </conditionalFormatting>
  <conditionalFormatting sqref="I45:J53">
    <cfRule type="containsBlanks" dxfId="671" priority="54">
      <formula>LEN(TRIM(I45))=0</formula>
    </cfRule>
  </conditionalFormatting>
  <conditionalFormatting sqref="M45:N53">
    <cfRule type="containsBlanks" dxfId="670" priority="53">
      <formula>LEN(TRIM(M45))=0</formula>
    </cfRule>
  </conditionalFormatting>
  <conditionalFormatting sqref="A58:B66">
    <cfRule type="containsBlanks" dxfId="669" priority="52">
      <formula>LEN(TRIM(A58))=0</formula>
    </cfRule>
  </conditionalFormatting>
  <conditionalFormatting sqref="E58:F66">
    <cfRule type="containsBlanks" dxfId="668" priority="51">
      <formula>LEN(TRIM(E58))=0</formula>
    </cfRule>
  </conditionalFormatting>
  <conditionalFormatting sqref="I58:J66">
    <cfRule type="containsBlanks" dxfId="667" priority="50">
      <formula>LEN(TRIM(I58))=0</formula>
    </cfRule>
  </conditionalFormatting>
  <conditionalFormatting sqref="M58:N66">
    <cfRule type="containsBlanks" dxfId="666" priority="49">
      <formula>LEN(TRIM(M58))=0</formula>
    </cfRule>
  </conditionalFormatting>
  <conditionalFormatting sqref="A71:B79">
    <cfRule type="containsBlanks" dxfId="665" priority="48">
      <formula>LEN(TRIM(A71))=0</formula>
    </cfRule>
  </conditionalFormatting>
  <conditionalFormatting sqref="E71:F79">
    <cfRule type="containsBlanks" dxfId="664" priority="39">
      <formula>LEN(TRIM(E71))=0</formula>
    </cfRule>
  </conditionalFormatting>
  <conditionalFormatting sqref="I71:J79">
    <cfRule type="containsBlanks" dxfId="663" priority="30">
      <formula>LEN(TRIM(I71))=0</formula>
    </cfRule>
  </conditionalFormatting>
  <conditionalFormatting sqref="M71:N79">
    <cfRule type="containsBlanks" dxfId="662" priority="21">
      <formula>LEN(TRIM(M71))=0</formula>
    </cfRule>
  </conditionalFormatting>
  <conditionalFormatting sqref="A85:B93">
    <cfRule type="containsBlanks" dxfId="661" priority="12">
      <formula>LEN(TRIM(A85))=0</formula>
    </cfRule>
  </conditionalFormatting>
  <conditionalFormatting sqref="E85:F93">
    <cfRule type="containsBlanks" dxfId="660" priority="11">
      <formula>LEN(TRIM(E85))=0</formula>
    </cfRule>
  </conditionalFormatting>
  <conditionalFormatting sqref="I86:J94">
    <cfRule type="containsBlanks" dxfId="659" priority="10">
      <formula>LEN(TRIM(I86))=0</formula>
    </cfRule>
  </conditionalFormatting>
  <conditionalFormatting sqref="M86:N94">
    <cfRule type="containsBlanks" dxfId="658" priority="9">
      <formula>LEN(TRIM(M86))=0</formula>
    </cfRule>
  </conditionalFormatting>
  <conditionalFormatting sqref="C6 C9 C11">
    <cfRule type="containsText" dxfId="657" priority="435" operator="containsText" text="Did Not Meet">
      <formula>NOT(ISERROR(SEARCH("Did Not Meet",C6)))</formula>
    </cfRule>
    <cfRule type="containsText" dxfId="656" priority="436" operator="containsText" text="Met">
      <formula>NOT(ISERROR(SEARCH("Met",C6)))</formula>
    </cfRule>
  </conditionalFormatting>
  <conditionalFormatting sqref="G6 G9 G11">
    <cfRule type="containsText" dxfId="655" priority="352" operator="containsText" text="Did Not Meet">
      <formula>NOT(ISERROR(SEARCH("Did Not Meet",G6)))</formula>
    </cfRule>
    <cfRule type="containsText" dxfId="654" priority="353" operator="containsText" text="Met">
      <formula>NOT(ISERROR(SEARCH("Met",G6)))</formula>
    </cfRule>
  </conditionalFormatting>
  <conditionalFormatting sqref="K6 K9 K11">
    <cfRule type="containsText" dxfId="653" priority="272" operator="containsText" text="Did Not Meet">
      <formula>NOT(ISERROR(SEARCH("Did Not Meet",K6)))</formula>
    </cfRule>
    <cfRule type="containsText" dxfId="652" priority="273" operator="containsText" text="Met">
      <formula>NOT(ISERROR(SEARCH("Met",K6)))</formula>
    </cfRule>
  </conditionalFormatting>
  <conditionalFormatting sqref="O6 O9 O11">
    <cfRule type="containsText" dxfId="651" priority="270" operator="containsText" text="Did Not Meet">
      <formula>NOT(ISERROR(SEARCH("Did Not Meet",O6)))</formula>
    </cfRule>
    <cfRule type="containsText" dxfId="650" priority="271" operator="containsText" text="Met">
      <formula>NOT(ISERROR(SEARCH("Met",O6)))</formula>
    </cfRule>
  </conditionalFormatting>
  <hyperlinks>
    <hyperlink ref="A98" r:id="rId1" display="http://cifr.wested.org/resources/lea-moe/calculator/"/>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47" id="{7CC2930D-0818-46DC-88B3-D2A8CE151866}">
            <xm:f>'3. Getting Started'!$B$17="No"</xm:f>
            <x14:dxf>
              <fill>
                <patternFill>
                  <bgColor theme="1"/>
                </patternFill>
              </fill>
            </x14:dxf>
          </x14:cfRule>
          <xm:sqref>A71:B71</xm:sqref>
        </x14:conditionalFormatting>
        <x14:conditionalFormatting xmlns:xm="http://schemas.microsoft.com/office/excel/2006/main">
          <x14:cfRule type="expression" priority="46" id="{CD484DFD-6D10-4161-BC5A-E10619344BB2}">
            <xm:f>'3. Getting Started'!$B$16="No"</xm:f>
            <x14:dxf>
              <fill>
                <patternFill>
                  <bgColor theme="1"/>
                </patternFill>
              </fill>
            </x14:dxf>
          </x14:cfRule>
          <xm:sqref>A72:B72</xm:sqref>
        </x14:conditionalFormatting>
        <x14:conditionalFormatting xmlns:xm="http://schemas.microsoft.com/office/excel/2006/main">
          <x14:cfRule type="expression" priority="45" id="{71B511B2-FC5B-453F-8EE7-756E59BF688D}">
            <xm:f>'3. Getting Started'!$B$15="No"</xm:f>
            <x14:dxf>
              <fill>
                <patternFill>
                  <bgColor theme="1"/>
                </patternFill>
              </fill>
            </x14:dxf>
          </x14:cfRule>
          <xm:sqref>A73:B73</xm:sqref>
        </x14:conditionalFormatting>
        <x14:conditionalFormatting xmlns:xm="http://schemas.microsoft.com/office/excel/2006/main">
          <x14:cfRule type="expression" priority="44" id="{56C9B6D7-4F16-4948-8EC6-A4277DC9D3D6}">
            <xm:f>'3. Getting Started'!$B$14="No"</xm:f>
            <x14:dxf>
              <fill>
                <patternFill>
                  <bgColor theme="1"/>
                </patternFill>
              </fill>
            </x14:dxf>
          </x14:cfRule>
          <xm:sqref>A74:B74</xm:sqref>
        </x14:conditionalFormatting>
        <x14:conditionalFormatting xmlns:xm="http://schemas.microsoft.com/office/excel/2006/main">
          <x14:cfRule type="expression" priority="43" id="{00F1C798-6858-4B74-B7B8-72F6C28967AA}">
            <xm:f>'3. Getting Started'!$B$13="No"</xm:f>
            <x14:dxf>
              <fill>
                <patternFill>
                  <bgColor theme="1"/>
                </patternFill>
              </fill>
            </x14:dxf>
          </x14:cfRule>
          <xm:sqref>A75:B75</xm:sqref>
        </x14:conditionalFormatting>
        <x14:conditionalFormatting xmlns:xm="http://schemas.microsoft.com/office/excel/2006/main">
          <x14:cfRule type="expression" priority="42" id="{AD274CF4-824D-418E-9776-6C2E0CFFAC99}">
            <xm:f>'3. Getting Started'!$B$12="No"</xm:f>
            <x14:dxf>
              <fill>
                <patternFill>
                  <bgColor theme="1"/>
                </patternFill>
              </fill>
            </x14:dxf>
          </x14:cfRule>
          <xm:sqref>A76:B76</xm:sqref>
        </x14:conditionalFormatting>
        <x14:conditionalFormatting xmlns:xm="http://schemas.microsoft.com/office/excel/2006/main">
          <x14:cfRule type="expression" priority="41" id="{CAD02D6F-8CA6-41D0-8F26-6CB9D5D118F5}">
            <xm:f>'3. Getting Started'!$B$11="No"</xm:f>
            <x14:dxf>
              <fill>
                <patternFill>
                  <bgColor theme="1"/>
                </patternFill>
              </fill>
            </x14:dxf>
          </x14:cfRule>
          <xm:sqref>A77:B77</xm:sqref>
        </x14:conditionalFormatting>
        <x14:conditionalFormatting xmlns:xm="http://schemas.microsoft.com/office/excel/2006/main">
          <x14:cfRule type="expression" priority="40" id="{1FCA76E3-E421-4C4E-B5FD-1B963CF12A23}">
            <xm:f>'3. Getting Started'!$B$10="No"</xm:f>
            <x14:dxf>
              <fill>
                <patternFill>
                  <bgColor theme="1"/>
                </patternFill>
              </fill>
            </x14:dxf>
          </x14:cfRule>
          <xm:sqref>A78:B78</xm:sqref>
        </x14:conditionalFormatting>
        <x14:conditionalFormatting xmlns:xm="http://schemas.microsoft.com/office/excel/2006/main">
          <x14:cfRule type="expression" priority="38" id="{70D5C0E4-A85D-4BED-BE3C-9725F2D794E3}">
            <xm:f>'3. Getting Started'!$B$17="No"</xm:f>
            <x14:dxf>
              <fill>
                <patternFill>
                  <bgColor theme="1"/>
                </patternFill>
              </fill>
            </x14:dxf>
          </x14:cfRule>
          <xm:sqref>E71:F71</xm:sqref>
        </x14:conditionalFormatting>
        <x14:conditionalFormatting xmlns:xm="http://schemas.microsoft.com/office/excel/2006/main">
          <x14:cfRule type="expression" priority="37" id="{E0EC952A-F445-4A8E-97E2-7F357B064781}">
            <xm:f>'3. Getting Started'!$B$16="No"</xm:f>
            <x14:dxf>
              <fill>
                <patternFill>
                  <bgColor theme="1"/>
                </patternFill>
              </fill>
            </x14:dxf>
          </x14:cfRule>
          <xm:sqref>E72:F72</xm:sqref>
        </x14:conditionalFormatting>
        <x14:conditionalFormatting xmlns:xm="http://schemas.microsoft.com/office/excel/2006/main">
          <x14:cfRule type="expression" priority="36" id="{68F00774-9199-4AFC-8359-6F4845DBBC12}">
            <xm:f>'3. Getting Started'!$B$15="No"</xm:f>
            <x14:dxf>
              <fill>
                <patternFill>
                  <bgColor theme="1"/>
                </patternFill>
              </fill>
            </x14:dxf>
          </x14:cfRule>
          <xm:sqref>E73:F73</xm:sqref>
        </x14:conditionalFormatting>
        <x14:conditionalFormatting xmlns:xm="http://schemas.microsoft.com/office/excel/2006/main">
          <x14:cfRule type="expression" priority="35" id="{6AF44F97-95A8-4637-BBF9-4142F3D6013D}">
            <xm:f>'3. Getting Started'!$B$14="No"</xm:f>
            <x14:dxf>
              <fill>
                <patternFill>
                  <bgColor theme="1"/>
                </patternFill>
              </fill>
            </x14:dxf>
          </x14:cfRule>
          <xm:sqref>E74:F74</xm:sqref>
        </x14:conditionalFormatting>
        <x14:conditionalFormatting xmlns:xm="http://schemas.microsoft.com/office/excel/2006/main">
          <x14:cfRule type="expression" priority="34" id="{C63998B2-E9EE-43EF-AE79-AB01675F6F2C}">
            <xm:f>'3. Getting Started'!$B$13="No"</xm:f>
            <x14:dxf>
              <fill>
                <patternFill>
                  <bgColor theme="1"/>
                </patternFill>
              </fill>
            </x14:dxf>
          </x14:cfRule>
          <xm:sqref>E75:F75</xm:sqref>
        </x14:conditionalFormatting>
        <x14:conditionalFormatting xmlns:xm="http://schemas.microsoft.com/office/excel/2006/main">
          <x14:cfRule type="expression" priority="33" id="{3A2C80E5-5B6C-4EED-8FCD-8A9C7743EDE0}">
            <xm:f>'3. Getting Started'!$B$12="No"</xm:f>
            <x14:dxf>
              <fill>
                <patternFill>
                  <bgColor theme="1"/>
                </patternFill>
              </fill>
            </x14:dxf>
          </x14:cfRule>
          <xm:sqref>E76:F76</xm:sqref>
        </x14:conditionalFormatting>
        <x14:conditionalFormatting xmlns:xm="http://schemas.microsoft.com/office/excel/2006/main">
          <x14:cfRule type="expression" priority="32" id="{6DFE2951-050F-4A93-861A-2D7B7BC0BA55}">
            <xm:f>'3. Getting Started'!$B$11="No"</xm:f>
            <x14:dxf>
              <fill>
                <patternFill>
                  <bgColor theme="1"/>
                </patternFill>
              </fill>
            </x14:dxf>
          </x14:cfRule>
          <xm:sqref>E77:F77</xm:sqref>
        </x14:conditionalFormatting>
        <x14:conditionalFormatting xmlns:xm="http://schemas.microsoft.com/office/excel/2006/main">
          <x14:cfRule type="expression" priority="31" id="{1A4DE5B1-9587-4E4B-B454-065EF0F48861}">
            <xm:f>'3. Getting Started'!$B$10="No"</xm:f>
            <x14:dxf>
              <fill>
                <patternFill>
                  <bgColor theme="1"/>
                </patternFill>
              </fill>
            </x14:dxf>
          </x14:cfRule>
          <xm:sqref>E78:F78</xm:sqref>
        </x14:conditionalFormatting>
        <x14:conditionalFormatting xmlns:xm="http://schemas.microsoft.com/office/excel/2006/main">
          <x14:cfRule type="expression" priority="29" id="{B0FEAFC4-42B0-495F-808D-EE5149E8CE80}">
            <xm:f>'3. Getting Started'!$B$17="No"</xm:f>
            <x14:dxf>
              <fill>
                <patternFill>
                  <bgColor theme="1"/>
                </patternFill>
              </fill>
            </x14:dxf>
          </x14:cfRule>
          <xm:sqref>I71:J71</xm:sqref>
        </x14:conditionalFormatting>
        <x14:conditionalFormatting xmlns:xm="http://schemas.microsoft.com/office/excel/2006/main">
          <x14:cfRule type="expression" priority="28" id="{D3C5EC08-97AE-4D74-A4AD-24AE342A1856}">
            <xm:f>'3. Getting Started'!$B$16="No"</xm:f>
            <x14:dxf>
              <fill>
                <patternFill>
                  <bgColor theme="1"/>
                </patternFill>
              </fill>
            </x14:dxf>
          </x14:cfRule>
          <xm:sqref>I72:J72</xm:sqref>
        </x14:conditionalFormatting>
        <x14:conditionalFormatting xmlns:xm="http://schemas.microsoft.com/office/excel/2006/main">
          <x14:cfRule type="expression" priority="27" id="{ECC3D327-5DB3-4B60-BCEF-E4F2D7B1FC64}">
            <xm:f>'3. Getting Started'!$B$15="No"</xm:f>
            <x14:dxf>
              <fill>
                <patternFill>
                  <bgColor theme="1"/>
                </patternFill>
              </fill>
            </x14:dxf>
          </x14:cfRule>
          <xm:sqref>I73:J73</xm:sqref>
        </x14:conditionalFormatting>
        <x14:conditionalFormatting xmlns:xm="http://schemas.microsoft.com/office/excel/2006/main">
          <x14:cfRule type="expression" priority="26" id="{C21B0BE1-B08C-4D46-9B78-B9360513E890}">
            <xm:f>'3. Getting Started'!$B$14="No"</xm:f>
            <x14:dxf>
              <fill>
                <patternFill>
                  <bgColor theme="1"/>
                </patternFill>
              </fill>
            </x14:dxf>
          </x14:cfRule>
          <xm:sqref>I74:J74</xm:sqref>
        </x14:conditionalFormatting>
        <x14:conditionalFormatting xmlns:xm="http://schemas.microsoft.com/office/excel/2006/main">
          <x14:cfRule type="expression" priority="25" id="{5FC6DC6D-2580-4239-959D-93AC18E807C4}">
            <xm:f>'3. Getting Started'!$B$13="No"</xm:f>
            <x14:dxf>
              <fill>
                <patternFill>
                  <bgColor theme="1"/>
                </patternFill>
              </fill>
            </x14:dxf>
          </x14:cfRule>
          <xm:sqref>I75:J75</xm:sqref>
        </x14:conditionalFormatting>
        <x14:conditionalFormatting xmlns:xm="http://schemas.microsoft.com/office/excel/2006/main">
          <x14:cfRule type="expression" priority="24" id="{1871A635-8B7F-420C-8516-2D4516663C11}">
            <xm:f>'3. Getting Started'!$B$12="No"</xm:f>
            <x14:dxf>
              <fill>
                <patternFill>
                  <bgColor theme="1"/>
                </patternFill>
              </fill>
            </x14:dxf>
          </x14:cfRule>
          <xm:sqref>I76:J76</xm:sqref>
        </x14:conditionalFormatting>
        <x14:conditionalFormatting xmlns:xm="http://schemas.microsoft.com/office/excel/2006/main">
          <x14:cfRule type="expression" priority="23" id="{7863D4D4-80C5-4BA0-8700-6F5BC15E5F8E}">
            <xm:f>'3. Getting Started'!$B$11="No"</xm:f>
            <x14:dxf>
              <fill>
                <patternFill>
                  <bgColor theme="1"/>
                </patternFill>
              </fill>
            </x14:dxf>
          </x14:cfRule>
          <xm:sqref>I77:J77</xm:sqref>
        </x14:conditionalFormatting>
        <x14:conditionalFormatting xmlns:xm="http://schemas.microsoft.com/office/excel/2006/main">
          <x14:cfRule type="expression" priority="22" id="{B47D36BB-D2F2-42F9-BDE9-578565071B51}">
            <xm:f>'3. Getting Started'!$B$10="No"</xm:f>
            <x14:dxf>
              <fill>
                <patternFill>
                  <bgColor theme="1"/>
                </patternFill>
              </fill>
            </x14:dxf>
          </x14:cfRule>
          <xm:sqref>I78:J78</xm:sqref>
        </x14:conditionalFormatting>
        <x14:conditionalFormatting xmlns:xm="http://schemas.microsoft.com/office/excel/2006/main">
          <x14:cfRule type="expression" priority="20" id="{9A6B339F-0ED7-4E16-9802-2DAD501ECBB3}">
            <xm:f>'3. Getting Started'!$B$17="No"</xm:f>
            <x14:dxf>
              <fill>
                <patternFill>
                  <bgColor theme="1"/>
                </patternFill>
              </fill>
            </x14:dxf>
          </x14:cfRule>
          <xm:sqref>M71:N71</xm:sqref>
        </x14:conditionalFormatting>
        <x14:conditionalFormatting xmlns:xm="http://schemas.microsoft.com/office/excel/2006/main">
          <x14:cfRule type="expression" priority="19" id="{03A51492-740A-43CB-B3FC-EA02A36D1A5E}">
            <xm:f>'3. Getting Started'!$B$16="No"</xm:f>
            <x14:dxf>
              <fill>
                <patternFill>
                  <bgColor theme="1"/>
                </patternFill>
              </fill>
            </x14:dxf>
          </x14:cfRule>
          <xm:sqref>M72:N72</xm:sqref>
        </x14:conditionalFormatting>
        <x14:conditionalFormatting xmlns:xm="http://schemas.microsoft.com/office/excel/2006/main">
          <x14:cfRule type="expression" priority="18" id="{A1B3FAE3-CB23-400B-8E2F-1910E6F381C7}">
            <xm:f>'3. Getting Started'!$B$15="No"</xm:f>
            <x14:dxf>
              <fill>
                <patternFill>
                  <bgColor theme="1"/>
                </patternFill>
              </fill>
            </x14:dxf>
          </x14:cfRule>
          <xm:sqref>M73:N73</xm:sqref>
        </x14:conditionalFormatting>
        <x14:conditionalFormatting xmlns:xm="http://schemas.microsoft.com/office/excel/2006/main">
          <x14:cfRule type="expression" priority="17" id="{A42B9750-4942-44D3-BA65-6B173645A8E1}">
            <xm:f>'3. Getting Started'!$B$14="No"</xm:f>
            <x14:dxf>
              <fill>
                <patternFill>
                  <bgColor theme="1"/>
                </patternFill>
              </fill>
            </x14:dxf>
          </x14:cfRule>
          <xm:sqref>M74:N74</xm:sqref>
        </x14:conditionalFormatting>
        <x14:conditionalFormatting xmlns:xm="http://schemas.microsoft.com/office/excel/2006/main">
          <x14:cfRule type="expression" priority="16" id="{6F26AD2B-E438-4190-AF7A-8D05D224348C}">
            <xm:f>'3. Getting Started'!$B$13="No"</xm:f>
            <x14:dxf>
              <fill>
                <patternFill>
                  <bgColor theme="1"/>
                </patternFill>
              </fill>
            </x14:dxf>
          </x14:cfRule>
          <xm:sqref>M75:N75</xm:sqref>
        </x14:conditionalFormatting>
        <x14:conditionalFormatting xmlns:xm="http://schemas.microsoft.com/office/excel/2006/main">
          <x14:cfRule type="expression" priority="15" id="{D39F0976-98DB-47B9-B21E-647763A3B45F}">
            <xm:f>'3. Getting Started'!$B$12="No"</xm:f>
            <x14:dxf>
              <fill>
                <patternFill>
                  <bgColor theme="1"/>
                </patternFill>
              </fill>
            </x14:dxf>
          </x14:cfRule>
          <xm:sqref>M76:N76</xm:sqref>
        </x14:conditionalFormatting>
        <x14:conditionalFormatting xmlns:xm="http://schemas.microsoft.com/office/excel/2006/main">
          <x14:cfRule type="expression" priority="14" id="{66D839E7-E85F-4681-BFA8-FFC21BD099F8}">
            <xm:f>'3. Getting Started'!$B$11="No"</xm:f>
            <x14:dxf>
              <fill>
                <patternFill>
                  <bgColor theme="1"/>
                </patternFill>
              </fill>
            </x14:dxf>
          </x14:cfRule>
          <xm:sqref>M77:N77</xm:sqref>
        </x14:conditionalFormatting>
        <x14:conditionalFormatting xmlns:xm="http://schemas.microsoft.com/office/excel/2006/main">
          <x14:cfRule type="expression" priority="13" id="{ED459E9D-F0BD-4417-827E-B2DFFC500F5C}">
            <xm:f>'3. Getting Started'!$B$10="No"</xm:f>
            <x14:dxf>
              <fill>
                <patternFill>
                  <bgColor theme="1"/>
                </patternFill>
              </fill>
            </x14:dxf>
          </x14:cfRule>
          <xm:sqref>M78:N78</xm:sqref>
        </x14:conditionalFormatting>
        <x14:conditionalFormatting xmlns:xm="http://schemas.microsoft.com/office/excel/2006/main">
          <x14:cfRule type="expression" priority="6" id="{35C872F9-93ED-4F87-BB16-7A504C286A8A}">
            <xm:f>'3. Getting Started'!$B$9="No"</xm:f>
            <x14:dxf>
              <fill>
                <patternFill>
                  <bgColor theme="1"/>
                </patternFill>
              </fill>
            </x14:dxf>
          </x14:cfRule>
          <xm:sqref>A79:B79</xm:sqref>
        </x14:conditionalFormatting>
        <x14:conditionalFormatting xmlns:xm="http://schemas.microsoft.com/office/excel/2006/main">
          <x14:cfRule type="expression" priority="5" id="{ED1C1B4E-5769-441C-815F-417D4A94F247}">
            <xm:f>'3. Getting Started'!$B$6="No"</xm:f>
            <x14:dxf>
              <font>
                <color theme="1"/>
              </font>
              <fill>
                <patternFill>
                  <bgColor theme="1"/>
                </patternFill>
              </fill>
            </x14:dxf>
          </x14:cfRule>
          <xm:sqref>A3:C95</xm:sqref>
        </x14:conditionalFormatting>
        <x14:conditionalFormatting xmlns:xm="http://schemas.microsoft.com/office/excel/2006/main">
          <x14:cfRule type="expression" priority="4" id="{B7FACE8B-D3BD-4591-9882-4CF5E9ADB578}">
            <xm:f>'3. Getting Started'!$B$9="No"</xm:f>
            <x14:dxf>
              <fill>
                <patternFill>
                  <bgColor theme="1"/>
                </patternFill>
              </fill>
            </x14:dxf>
          </x14:cfRule>
          <xm:sqref>E79:F79</xm:sqref>
        </x14:conditionalFormatting>
        <x14:conditionalFormatting xmlns:xm="http://schemas.microsoft.com/office/excel/2006/main">
          <x14:cfRule type="expression" priority="3" id="{D030E16B-65D0-4EFD-B5AC-D9CD3EF35F97}">
            <xm:f>'3. Getting Started'!$B$9="No"</xm:f>
            <x14:dxf>
              <fill>
                <patternFill>
                  <bgColor theme="1"/>
                </patternFill>
              </fill>
            </x14:dxf>
          </x14:cfRule>
          <xm:sqref>I79:J79</xm:sqref>
        </x14:conditionalFormatting>
        <x14:conditionalFormatting xmlns:xm="http://schemas.microsoft.com/office/excel/2006/main">
          <x14:cfRule type="expression" priority="2" id="{FD301D40-873F-49DE-9ED3-863AE3837368}">
            <xm:f>'3. Getting Started'!$B$6="No"</xm:f>
            <x14:dxf>
              <font>
                <color theme="1"/>
              </font>
              <fill>
                <patternFill>
                  <bgColor theme="1"/>
                </patternFill>
              </fill>
            </x14:dxf>
          </x14:cfRule>
          <xm:sqref>I3:K99</xm:sqref>
        </x14:conditionalFormatting>
        <x14:conditionalFormatting xmlns:xm="http://schemas.microsoft.com/office/excel/2006/main">
          <x14:cfRule type="expression" priority="1" id="{9301293D-8ABB-4592-8B74-2B50AD56BD4B}">
            <xm:f>'3. Getting Started'!$B$9="No"</xm:f>
            <x14:dxf>
              <fill>
                <patternFill>
                  <bgColor theme="1"/>
                </patternFill>
              </fill>
            </x14:dxf>
          </x14:cfRule>
          <xm:sqref>M79:N79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autoPageBreaks="0"/>
  </sheetPr>
  <dimension ref="A1:AC73"/>
  <sheetViews>
    <sheetView zoomScale="90" zoomScaleNormal="90" zoomScalePageLayoutView="90" workbookViewId="0">
      <pane ySplit="2" topLeftCell="A3" activePane="bottomLeft" state="frozen"/>
      <selection pane="bottomLeft" activeCell="A7" sqref="A7"/>
    </sheetView>
  </sheetViews>
  <sheetFormatPr defaultColWidth="0" defaultRowHeight="15.75" zeroHeight="1" x14ac:dyDescent="0.25"/>
  <cols>
    <col min="1" max="1" width="35.25" style="45" customWidth="1"/>
    <col min="2" max="2" width="28.75" style="45" bestFit="1" customWidth="1"/>
    <col min="3" max="5" width="24.75" style="45" customWidth="1"/>
    <col min="6" max="6" width="29.75" style="45" bestFit="1" customWidth="1"/>
    <col min="7" max="7" width="24.75" style="45" customWidth="1"/>
    <col min="8" max="8" width="35.25" style="45" customWidth="1"/>
    <col min="9" max="9" width="28.75" style="45" bestFit="1" customWidth="1"/>
    <col min="10" max="12" width="24.75" style="45" customWidth="1"/>
    <col min="13" max="13" width="29.75" style="45" bestFit="1" customWidth="1"/>
    <col min="14" max="18" width="10.75" style="45" hidden="1" customWidth="1"/>
    <col min="19" max="19" width="12" style="45" hidden="1" customWidth="1"/>
    <col min="20" max="29" width="0" style="45" hidden="1" customWidth="1"/>
    <col min="30" max="16384" width="10.75" style="45" hidden="1"/>
  </cols>
  <sheetData>
    <row r="1" spans="1:20" ht="25.9" customHeight="1" thickBot="1" x14ac:dyDescent="0.3">
      <c r="A1" s="19" t="s">
        <v>115</v>
      </c>
      <c r="B1" s="47"/>
      <c r="D1" s="474" t="s">
        <v>254</v>
      </c>
      <c r="E1" s="475" t="str">
        <f>IF('3. Getting Started'!$B2="","",'3. Getting Started'!$B2)</f>
        <v/>
      </c>
      <c r="G1" s="42"/>
      <c r="I1" s="47"/>
      <c r="J1" s="47"/>
      <c r="K1" s="474" t="s">
        <v>254</v>
      </c>
      <c r="L1" s="475" t="str">
        <f>IF('3. Getting Started'!$B2="","",'3. Getting Started'!$B2)</f>
        <v/>
      </c>
      <c r="M1" s="47"/>
      <c r="N1" s="44"/>
      <c r="O1" s="44"/>
      <c r="P1" s="44"/>
      <c r="Q1" s="44"/>
      <c r="R1" s="44"/>
      <c r="S1" s="44"/>
      <c r="T1" s="44"/>
    </row>
    <row r="2" spans="1:20" ht="25.9" customHeight="1" thickBot="1" x14ac:dyDescent="0.3">
      <c r="A2" s="346" t="s">
        <v>242</v>
      </c>
      <c r="B2" s="207"/>
      <c r="C2" s="207"/>
      <c r="D2" s="207"/>
      <c r="E2" s="207"/>
      <c r="F2" s="208"/>
      <c r="G2" s="81"/>
      <c r="H2" s="346" t="s">
        <v>247</v>
      </c>
      <c r="I2" s="207"/>
      <c r="J2" s="207"/>
      <c r="K2" s="207"/>
      <c r="L2" s="207"/>
      <c r="M2" s="212"/>
      <c r="N2" s="347"/>
      <c r="O2" s="44"/>
      <c r="P2" s="44"/>
      <c r="Q2" s="44"/>
      <c r="R2" s="44"/>
      <c r="S2" s="44"/>
      <c r="T2" s="44"/>
    </row>
    <row r="3" spans="1:20" x14ac:dyDescent="0.25">
      <c r="A3" s="46" t="s">
        <v>226</v>
      </c>
      <c r="B3" s="47"/>
      <c r="C3" s="48"/>
      <c r="D3" s="48"/>
      <c r="E3" s="48"/>
      <c r="F3" s="49"/>
      <c r="G3" s="150"/>
      <c r="H3" s="46" t="s">
        <v>226</v>
      </c>
      <c r="I3" s="47"/>
      <c r="J3" s="48"/>
      <c r="K3" s="48"/>
      <c r="L3" s="48"/>
      <c r="M3" s="49"/>
      <c r="N3" s="50"/>
      <c r="O3" s="50"/>
      <c r="P3" s="50"/>
      <c r="Q3" s="50"/>
      <c r="R3" s="50"/>
    </row>
    <row r="4" spans="1:20" x14ac:dyDescent="0.25">
      <c r="A4" s="51" t="s">
        <v>236</v>
      </c>
      <c r="B4" s="52"/>
      <c r="C4" s="50"/>
      <c r="D4" s="50"/>
      <c r="E4" s="50"/>
      <c r="F4" s="53"/>
      <c r="G4" s="150"/>
      <c r="H4" s="51" t="s">
        <v>236</v>
      </c>
      <c r="I4" s="52"/>
      <c r="J4" s="50"/>
      <c r="K4" s="50"/>
      <c r="L4" s="50"/>
      <c r="M4" s="53"/>
      <c r="N4" s="50"/>
      <c r="O4" s="50"/>
      <c r="P4" s="50"/>
      <c r="Q4" s="50"/>
      <c r="R4" s="50"/>
    </row>
    <row r="5" spans="1:20" ht="30.4" customHeight="1" thickBot="1" x14ac:dyDescent="0.3">
      <c r="A5" s="157" t="s">
        <v>21</v>
      </c>
      <c r="B5" s="54"/>
      <c r="C5" s="54"/>
      <c r="D5" s="54"/>
      <c r="E5" s="54"/>
      <c r="F5" s="147"/>
      <c r="G5" s="151"/>
      <c r="H5" s="157" t="s">
        <v>21</v>
      </c>
      <c r="I5" s="54"/>
      <c r="J5" s="54"/>
      <c r="K5" s="54"/>
      <c r="L5" s="54"/>
      <c r="M5" s="147"/>
      <c r="N5" s="55"/>
      <c r="O5" s="55"/>
      <c r="P5" s="55"/>
      <c r="Q5" s="55"/>
    </row>
    <row r="6" spans="1:20" s="61" customFormat="1" x14ac:dyDescent="0.25">
      <c r="A6" s="56" t="s">
        <v>22</v>
      </c>
      <c r="B6" s="57" t="s">
        <v>23</v>
      </c>
      <c r="C6" s="58" t="s">
        <v>24</v>
      </c>
      <c r="D6" s="58" t="s">
        <v>94</v>
      </c>
      <c r="E6" s="59" t="s">
        <v>95</v>
      </c>
      <c r="F6" s="148" t="s">
        <v>173</v>
      </c>
      <c r="G6" s="152"/>
      <c r="H6" s="56" t="s">
        <v>22</v>
      </c>
      <c r="I6" s="57" t="s">
        <v>23</v>
      </c>
      <c r="J6" s="58" t="s">
        <v>24</v>
      </c>
      <c r="K6" s="58" t="s">
        <v>94</v>
      </c>
      <c r="L6" s="59" t="s">
        <v>95</v>
      </c>
      <c r="M6" s="148" t="s">
        <v>174</v>
      </c>
    </row>
    <row r="7" spans="1:20" x14ac:dyDescent="0.25">
      <c r="A7" s="23"/>
      <c r="B7" s="20"/>
      <c r="C7" s="20"/>
      <c r="D7" s="21"/>
      <c r="E7" s="21"/>
      <c r="F7" s="63">
        <f>D7+E7</f>
        <v>0</v>
      </c>
      <c r="G7" s="153"/>
      <c r="H7" s="23"/>
      <c r="I7" s="20"/>
      <c r="J7" s="20"/>
      <c r="K7" s="21"/>
      <c r="L7" s="21"/>
      <c r="M7" s="63">
        <f>K7+L7</f>
        <v>0</v>
      </c>
    </row>
    <row r="8" spans="1:20" x14ac:dyDescent="0.25">
      <c r="A8" s="23"/>
      <c r="B8" s="20"/>
      <c r="C8" s="20"/>
      <c r="D8" s="21"/>
      <c r="E8" s="21"/>
      <c r="F8" s="63">
        <f>D8+E8</f>
        <v>0</v>
      </c>
      <c r="G8" s="153"/>
      <c r="H8" s="23"/>
      <c r="I8" s="20"/>
      <c r="J8" s="20"/>
      <c r="K8" s="21"/>
      <c r="L8" s="21"/>
      <c r="M8" s="63">
        <f>K8+L8</f>
        <v>0</v>
      </c>
    </row>
    <row r="9" spans="1:20" x14ac:dyDescent="0.25">
      <c r="A9" s="23"/>
      <c r="B9" s="20"/>
      <c r="C9" s="20"/>
      <c r="D9" s="21"/>
      <c r="E9" s="21"/>
      <c r="F9" s="63">
        <f>D9+E9</f>
        <v>0</v>
      </c>
      <c r="G9" s="153"/>
      <c r="H9" s="23"/>
      <c r="I9" s="20"/>
      <c r="J9" s="20"/>
      <c r="K9" s="21"/>
      <c r="L9" s="21"/>
      <c r="M9" s="63">
        <f>K9+L9</f>
        <v>0</v>
      </c>
    </row>
    <row r="10" spans="1:20" x14ac:dyDescent="0.25">
      <c r="A10" s="23"/>
      <c r="B10" s="20"/>
      <c r="C10" s="20"/>
      <c r="D10" s="21"/>
      <c r="E10" s="21"/>
      <c r="F10" s="63">
        <f>D10+E10</f>
        <v>0</v>
      </c>
      <c r="G10" s="153"/>
      <c r="H10" s="23"/>
      <c r="I10" s="20"/>
      <c r="J10" s="20"/>
      <c r="K10" s="21"/>
      <c r="L10" s="21"/>
      <c r="M10" s="63">
        <f>K10+L10</f>
        <v>0</v>
      </c>
    </row>
    <row r="11" spans="1:20" x14ac:dyDescent="0.25">
      <c r="A11" s="23"/>
      <c r="B11" s="20"/>
      <c r="C11" s="20"/>
      <c r="D11" s="21"/>
      <c r="E11" s="21"/>
      <c r="F11" s="63">
        <f>D11+E11</f>
        <v>0</v>
      </c>
      <c r="G11" s="153"/>
      <c r="H11" s="23"/>
      <c r="I11" s="20"/>
      <c r="J11" s="20"/>
      <c r="K11" s="21"/>
      <c r="L11" s="21"/>
      <c r="M11" s="63">
        <f>K11+L11</f>
        <v>0</v>
      </c>
    </row>
    <row r="12" spans="1:20" ht="16.899999999999999" customHeight="1" thickBot="1" x14ac:dyDescent="0.3">
      <c r="A12" s="65"/>
      <c r="B12" s="66"/>
      <c r="C12" s="67" t="s">
        <v>25</v>
      </c>
      <c r="D12" s="68">
        <f t="shared" ref="D12:F12" si="0">SUM(D7:D11)</f>
        <v>0</v>
      </c>
      <c r="E12" s="68">
        <f t="shared" si="0"/>
        <v>0</v>
      </c>
      <c r="F12" s="69">
        <f t="shared" si="0"/>
        <v>0</v>
      </c>
      <c r="G12" s="153"/>
      <c r="H12" s="65"/>
      <c r="I12" s="66"/>
      <c r="J12" s="67" t="s">
        <v>25</v>
      </c>
      <c r="K12" s="68">
        <f t="shared" ref="K12:M12" si="1">SUM(K7:K11)</f>
        <v>0</v>
      </c>
      <c r="L12" s="68">
        <f t="shared" si="1"/>
        <v>0</v>
      </c>
      <c r="M12" s="69">
        <f t="shared" si="1"/>
        <v>0</v>
      </c>
    </row>
    <row r="13" spans="1:20" ht="33.4" customHeight="1" thickBot="1" x14ac:dyDescent="0.3">
      <c r="A13" s="158" t="s">
        <v>26</v>
      </c>
      <c r="B13" s="42"/>
      <c r="C13" s="42"/>
      <c r="D13" s="42"/>
      <c r="E13" s="42"/>
      <c r="F13" s="149"/>
      <c r="G13" s="151"/>
      <c r="H13" s="158" t="s">
        <v>26</v>
      </c>
      <c r="I13" s="42"/>
      <c r="J13" s="42"/>
      <c r="K13" s="42"/>
      <c r="L13" s="42"/>
      <c r="M13" s="149"/>
      <c r="N13" s="55"/>
      <c r="O13" s="55"/>
      <c r="P13" s="55"/>
      <c r="Q13" s="70"/>
    </row>
    <row r="14" spans="1:20" x14ac:dyDescent="0.25">
      <c r="A14" s="71" t="s">
        <v>22</v>
      </c>
      <c r="B14" s="72" t="s">
        <v>23</v>
      </c>
      <c r="C14" s="73" t="s">
        <v>63</v>
      </c>
      <c r="D14" s="58" t="s">
        <v>94</v>
      </c>
      <c r="E14" s="59" t="s">
        <v>95</v>
      </c>
      <c r="F14" s="148" t="s">
        <v>173</v>
      </c>
      <c r="G14" s="154"/>
      <c r="H14" s="71" t="s">
        <v>22</v>
      </c>
      <c r="I14" s="72" t="s">
        <v>23</v>
      </c>
      <c r="J14" s="73" t="s">
        <v>63</v>
      </c>
      <c r="K14" s="58" t="s">
        <v>94</v>
      </c>
      <c r="L14" s="59" t="s">
        <v>95</v>
      </c>
      <c r="M14" s="148" t="s">
        <v>174</v>
      </c>
    </row>
    <row r="15" spans="1:20" x14ac:dyDescent="0.25">
      <c r="A15" s="24"/>
      <c r="B15" s="39"/>
      <c r="C15" s="466"/>
      <c r="D15" s="21"/>
      <c r="E15" s="21"/>
      <c r="F15" s="63">
        <f>D15+E15</f>
        <v>0</v>
      </c>
      <c r="G15" s="153"/>
      <c r="H15" s="24"/>
      <c r="I15" s="39"/>
      <c r="J15" s="466"/>
      <c r="K15" s="21"/>
      <c r="L15" s="21"/>
      <c r="M15" s="63">
        <f>K15+L15</f>
        <v>0</v>
      </c>
    </row>
    <row r="16" spans="1:20" x14ac:dyDescent="0.25">
      <c r="A16" s="24"/>
      <c r="B16" s="39"/>
      <c r="C16" s="466"/>
      <c r="D16" s="21"/>
      <c r="E16" s="21"/>
      <c r="F16" s="63">
        <f>D16+E16</f>
        <v>0</v>
      </c>
      <c r="G16" s="153"/>
      <c r="H16" s="24"/>
      <c r="I16" s="39"/>
      <c r="J16" s="466"/>
      <c r="K16" s="21"/>
      <c r="L16" s="21"/>
      <c r="M16" s="63">
        <f>K16+L16</f>
        <v>0</v>
      </c>
    </row>
    <row r="17" spans="1:18" x14ac:dyDescent="0.25">
      <c r="A17" s="24"/>
      <c r="B17" s="39"/>
      <c r="C17" s="466"/>
      <c r="D17" s="21"/>
      <c r="E17" s="21"/>
      <c r="F17" s="63">
        <f>D17+E17</f>
        <v>0</v>
      </c>
      <c r="G17" s="153"/>
      <c r="H17" s="24"/>
      <c r="I17" s="39"/>
      <c r="J17" s="466"/>
      <c r="K17" s="21"/>
      <c r="L17" s="21"/>
      <c r="M17" s="63">
        <f>K17+L17</f>
        <v>0</v>
      </c>
    </row>
    <row r="18" spans="1:18" x14ac:dyDescent="0.25">
      <c r="A18" s="24"/>
      <c r="B18" s="39"/>
      <c r="C18" s="466"/>
      <c r="D18" s="21"/>
      <c r="E18" s="21"/>
      <c r="F18" s="63">
        <f>D18+E18</f>
        <v>0</v>
      </c>
      <c r="G18" s="153"/>
      <c r="H18" s="24"/>
      <c r="I18" s="39"/>
      <c r="J18" s="466"/>
      <c r="K18" s="21"/>
      <c r="L18" s="21"/>
      <c r="M18" s="63">
        <f>K18+L18</f>
        <v>0</v>
      </c>
    </row>
    <row r="19" spans="1:18" x14ac:dyDescent="0.25">
      <c r="A19" s="24"/>
      <c r="B19" s="39"/>
      <c r="C19" s="466"/>
      <c r="D19" s="21"/>
      <c r="E19" s="21"/>
      <c r="F19" s="63">
        <f>D19+E19</f>
        <v>0</v>
      </c>
      <c r="G19" s="153"/>
      <c r="H19" s="24"/>
      <c r="I19" s="39"/>
      <c r="J19" s="466"/>
      <c r="K19" s="21"/>
      <c r="L19" s="21"/>
      <c r="M19" s="63">
        <f>K19+L19</f>
        <v>0</v>
      </c>
    </row>
    <row r="20" spans="1:18" x14ac:dyDescent="0.25">
      <c r="A20" s="159"/>
      <c r="B20" s="160"/>
      <c r="C20" s="161" t="s">
        <v>27</v>
      </c>
      <c r="D20" s="62">
        <f t="shared" ref="D20:F20" si="2">SUM(D15:D19)</f>
        <v>0</v>
      </c>
      <c r="E20" s="62">
        <f t="shared" si="2"/>
        <v>0</v>
      </c>
      <c r="F20" s="63">
        <f t="shared" si="2"/>
        <v>0</v>
      </c>
      <c r="G20" s="153"/>
      <c r="H20" s="159"/>
      <c r="I20" s="160"/>
      <c r="J20" s="161" t="s">
        <v>27</v>
      </c>
      <c r="K20" s="62">
        <f t="shared" ref="K20:M20" si="3">SUM(K15:K19)</f>
        <v>0</v>
      </c>
      <c r="L20" s="62">
        <f t="shared" si="3"/>
        <v>0</v>
      </c>
      <c r="M20" s="63">
        <f t="shared" si="3"/>
        <v>0</v>
      </c>
    </row>
    <row r="21" spans="1:18" ht="16.5" thickBot="1" x14ac:dyDescent="0.3">
      <c r="A21" s="192"/>
      <c r="B21" s="193"/>
      <c r="C21" s="193"/>
      <c r="D21" s="194" t="s">
        <v>182</v>
      </c>
      <c r="E21" s="195"/>
      <c r="F21" s="322">
        <f>F12-F20</f>
        <v>0</v>
      </c>
      <c r="G21" s="155"/>
      <c r="H21" s="192"/>
      <c r="I21" s="193"/>
      <c r="J21" s="193"/>
      <c r="K21" s="194" t="s">
        <v>28</v>
      </c>
      <c r="L21" s="195"/>
      <c r="M21" s="322">
        <f>M12-M20</f>
        <v>0</v>
      </c>
      <c r="N21" s="70"/>
      <c r="O21" s="70"/>
      <c r="P21" s="70"/>
      <c r="Q21" s="70"/>
    </row>
    <row r="22" spans="1:18" ht="16.5" thickBot="1" x14ac:dyDescent="0.3">
      <c r="A22" s="499" t="s">
        <v>219</v>
      </c>
      <c r="B22" s="499"/>
      <c r="C22" s="499"/>
      <c r="D22" s="499"/>
      <c r="E22" s="499"/>
      <c r="F22" s="499"/>
      <c r="G22" s="78"/>
      <c r="H22" s="499" t="s">
        <v>219</v>
      </c>
      <c r="I22" s="499"/>
      <c r="J22" s="499"/>
      <c r="K22" s="499"/>
      <c r="L22" s="499"/>
      <c r="M22" s="499"/>
      <c r="N22" s="78"/>
      <c r="O22" s="78"/>
      <c r="P22" s="78"/>
      <c r="Q22" s="78"/>
      <c r="R22" s="78"/>
    </row>
    <row r="23" spans="1:18" x14ac:dyDescent="0.25">
      <c r="A23" s="79" t="s">
        <v>227</v>
      </c>
      <c r="B23" s="43"/>
      <c r="C23" s="43"/>
      <c r="D23" s="43"/>
      <c r="E23" s="80"/>
      <c r="F23" s="1" t="s">
        <v>104</v>
      </c>
      <c r="G23" s="78"/>
      <c r="H23" s="79" t="s">
        <v>227</v>
      </c>
      <c r="I23" s="43"/>
      <c r="J23" s="43"/>
      <c r="K23" s="43"/>
      <c r="L23" s="80"/>
      <c r="M23" s="1" t="s">
        <v>104</v>
      </c>
      <c r="N23" s="78"/>
      <c r="O23" s="78"/>
      <c r="P23" s="78"/>
      <c r="Q23" s="78"/>
      <c r="R23" s="78"/>
    </row>
    <row r="24" spans="1:18" x14ac:dyDescent="0.25">
      <c r="A24" s="185" t="s">
        <v>63</v>
      </c>
      <c r="B24" s="186" t="s">
        <v>34</v>
      </c>
      <c r="C24" s="186" t="s">
        <v>0</v>
      </c>
      <c r="D24" s="186" t="s">
        <v>1</v>
      </c>
      <c r="E24" s="187" t="s">
        <v>98</v>
      </c>
      <c r="F24" s="199" t="s">
        <v>105</v>
      </c>
      <c r="G24" s="78"/>
      <c r="H24" s="185" t="s">
        <v>63</v>
      </c>
      <c r="I24" s="186" t="s">
        <v>34</v>
      </c>
      <c r="J24" s="186" t="s">
        <v>0</v>
      </c>
      <c r="K24" s="186" t="s">
        <v>1</v>
      </c>
      <c r="L24" s="187" t="s">
        <v>98</v>
      </c>
      <c r="M24" s="199" t="s">
        <v>105</v>
      </c>
      <c r="N24" s="78"/>
      <c r="O24" s="78"/>
      <c r="P24" s="78"/>
      <c r="Q24" s="78"/>
      <c r="R24" s="78"/>
    </row>
    <row r="25" spans="1:18" x14ac:dyDescent="0.25">
      <c r="A25" s="335" t="str">
        <f>IF(B31="","Projected Reduction",IF(B31&lt;0,"Projected Reduction",IF(B31&gt;=0,"Not eligible for this exception","Projected Reduction")))</f>
        <v>Projected Reduction</v>
      </c>
      <c r="B25" s="329">
        <v>0</v>
      </c>
      <c r="C25" s="329">
        <v>0</v>
      </c>
      <c r="D25" s="329">
        <v>0</v>
      </c>
      <c r="E25" s="330">
        <v>0</v>
      </c>
      <c r="F25" s="199" t="s">
        <v>106</v>
      </c>
      <c r="G25" s="78"/>
      <c r="H25" s="335" t="str">
        <f>IF(I31="","Allowed Reduction",IF(I31&lt;0,"Allowed Reduction",IF(I31&gt;=0,"Not eligible for this exception","Allowed Reduction")))</f>
        <v>Allowed Reduction</v>
      </c>
      <c r="I25" s="329">
        <v>0</v>
      </c>
      <c r="J25" s="329">
        <v>0</v>
      </c>
      <c r="K25" s="329">
        <v>0</v>
      </c>
      <c r="L25" s="330">
        <v>0</v>
      </c>
      <c r="M25" s="199" t="s">
        <v>106</v>
      </c>
      <c r="N25" s="78"/>
      <c r="O25" s="78"/>
      <c r="P25" s="78"/>
      <c r="Q25" s="78"/>
      <c r="R25" s="78"/>
    </row>
    <row r="26" spans="1:18" ht="16.5" thickBot="1" x14ac:dyDescent="0.3">
      <c r="A26" s="500" t="s">
        <v>219</v>
      </c>
      <c r="B26" s="500"/>
      <c r="C26" s="500"/>
      <c r="D26" s="500"/>
      <c r="E26" s="500"/>
      <c r="F26" s="199" t="s">
        <v>107</v>
      </c>
      <c r="G26" s="78"/>
      <c r="H26" s="500" t="s">
        <v>219</v>
      </c>
      <c r="I26" s="500"/>
      <c r="J26" s="500"/>
      <c r="K26" s="500"/>
      <c r="L26" s="500"/>
      <c r="M26" s="199" t="s">
        <v>107</v>
      </c>
      <c r="N26" s="78"/>
      <c r="O26" s="78"/>
      <c r="P26" s="78"/>
      <c r="Q26" s="78"/>
      <c r="R26" s="78"/>
    </row>
    <row r="27" spans="1:18" ht="24" customHeight="1" x14ac:dyDescent="0.25">
      <c r="A27" s="79" t="s">
        <v>228</v>
      </c>
      <c r="B27" s="43"/>
      <c r="C27" s="43"/>
      <c r="D27" s="156"/>
      <c r="E27" s="81"/>
      <c r="F27" s="81"/>
      <c r="H27" s="79" t="s">
        <v>228</v>
      </c>
      <c r="I27" s="43"/>
      <c r="J27" s="43"/>
      <c r="K27" s="156"/>
      <c r="L27" s="81"/>
      <c r="M27" s="81"/>
      <c r="N27" s="83"/>
      <c r="O27" s="83"/>
      <c r="P27" s="83"/>
    </row>
    <row r="28" spans="1:18" x14ac:dyDescent="0.25">
      <c r="A28" s="84" t="s">
        <v>63</v>
      </c>
      <c r="B28" s="85" t="s">
        <v>64</v>
      </c>
      <c r="C28" s="86"/>
      <c r="D28" s="196"/>
      <c r="E28" s="86"/>
      <c r="F28" s="86"/>
      <c r="H28" s="84" t="s">
        <v>63</v>
      </c>
      <c r="I28" s="85" t="s">
        <v>64</v>
      </c>
      <c r="J28" s="86"/>
      <c r="K28" s="196"/>
      <c r="L28" s="86"/>
      <c r="M28" s="86"/>
      <c r="N28" s="87"/>
      <c r="O28" s="83"/>
      <c r="P28" s="83"/>
    </row>
    <row r="29" spans="1:18" x14ac:dyDescent="0.25">
      <c r="A29" s="88" t="s">
        <v>165</v>
      </c>
      <c r="B29" s="402" t="str">
        <f>IF('17. 19-20 Amounts'!B1="","",'17. 19-20 Amounts'!B1)</f>
        <v/>
      </c>
      <c r="C29" s="86"/>
      <c r="D29" s="196"/>
      <c r="E29" s="86"/>
      <c r="F29" s="86"/>
      <c r="H29" s="88" t="s">
        <v>168</v>
      </c>
      <c r="I29" s="402" t="str">
        <f>IF('17. 19-20 Amounts'!I1="","",'17. 19-20 Amounts'!I1)</f>
        <v/>
      </c>
      <c r="J29" s="86"/>
      <c r="K29" s="196"/>
      <c r="L29" s="86"/>
      <c r="M29" s="86"/>
      <c r="N29" s="87"/>
      <c r="O29" s="87"/>
      <c r="P29" s="83"/>
    </row>
    <row r="30" spans="1:18" x14ac:dyDescent="0.25">
      <c r="A30" s="89" t="s">
        <v>166</v>
      </c>
      <c r="B30" s="402" t="str">
        <f>IF('14. 18-19 Amounts'!B1="","",'14. 18-19 Amounts'!B1)</f>
        <v/>
      </c>
      <c r="C30" s="87"/>
      <c r="D30" s="197"/>
      <c r="E30" s="87"/>
      <c r="F30" s="86"/>
      <c r="G30" s="86"/>
      <c r="H30" s="89" t="s">
        <v>166</v>
      </c>
      <c r="I30" s="402" t="str">
        <f>IF('4. Multi-Year MOE Summary'!$C$11="","",'4. Multi-Year MOE Summary'!$C$11)</f>
        <v/>
      </c>
      <c r="J30" s="87"/>
      <c r="K30" s="197"/>
      <c r="L30" s="87"/>
      <c r="M30" s="86"/>
      <c r="N30" s="87"/>
      <c r="O30" s="87"/>
      <c r="P30" s="83"/>
    </row>
    <row r="31" spans="1:18" x14ac:dyDescent="0.25">
      <c r="A31" s="89" t="s">
        <v>67</v>
      </c>
      <c r="B31" s="90" t="str">
        <f>IF(B29="","",B29-B30)</f>
        <v/>
      </c>
      <c r="C31" s="86" t="str">
        <f>IF(B31="","",IF(B31&gt;=0,"Not eligible for this exception",""))</f>
        <v/>
      </c>
      <c r="D31" s="196"/>
      <c r="E31" s="86"/>
      <c r="F31" s="86"/>
      <c r="G31" s="91"/>
      <c r="H31" s="89" t="s">
        <v>67</v>
      </c>
      <c r="I31" s="90" t="str">
        <f>IF(I29="","",I29-I30)</f>
        <v/>
      </c>
      <c r="J31" s="86" t="str">
        <f>IF(I31="","",IF(I31&gt;=0,"Not eligible for this exception",""))</f>
        <v/>
      </c>
      <c r="K31" s="196"/>
      <c r="L31" s="86"/>
      <c r="M31" s="86"/>
      <c r="N31" s="93"/>
      <c r="O31" s="93"/>
      <c r="P31" s="83"/>
    </row>
    <row r="32" spans="1:18" x14ac:dyDescent="0.25">
      <c r="A32" s="94" t="s">
        <v>68</v>
      </c>
      <c r="B32" s="95" t="str">
        <f>IF(B31&lt;=0,ABS(B31/B30),"")</f>
        <v/>
      </c>
      <c r="C32" s="96"/>
      <c r="D32" s="198"/>
      <c r="E32" s="96"/>
      <c r="F32" s="78"/>
      <c r="G32" s="78"/>
      <c r="H32" s="94" t="s">
        <v>68</v>
      </c>
      <c r="I32" s="95" t="str">
        <f>IF(I31&lt;=0,ABS(I31/I30),"")</f>
        <v/>
      </c>
      <c r="J32" s="96"/>
      <c r="K32" s="198"/>
      <c r="L32" s="96"/>
      <c r="M32" s="78"/>
      <c r="N32" s="97"/>
      <c r="O32" s="97"/>
      <c r="P32" s="83"/>
    </row>
    <row r="33" spans="1:29" ht="31.15" customHeight="1" x14ac:dyDescent="0.25">
      <c r="A33" s="185" t="s">
        <v>63</v>
      </c>
      <c r="B33" s="186" t="s">
        <v>34</v>
      </c>
      <c r="C33" s="186" t="s">
        <v>0</v>
      </c>
      <c r="D33" s="78"/>
      <c r="E33" s="52"/>
      <c r="F33" s="52"/>
      <c r="G33" s="78"/>
      <c r="H33" s="185" t="s">
        <v>63</v>
      </c>
      <c r="I33" s="186" t="s">
        <v>34</v>
      </c>
      <c r="J33" s="186" t="s">
        <v>0</v>
      </c>
      <c r="K33" s="78"/>
      <c r="L33" s="52"/>
      <c r="M33" s="52"/>
      <c r="N33" s="83"/>
    </row>
    <row r="34" spans="1:29" x14ac:dyDescent="0.25">
      <c r="A34" s="188" t="s">
        <v>167</v>
      </c>
      <c r="B34" s="100" t="str">
        <f>IF(B31&gt;=0,"",IF('3. Getting Started'!$B$7="No","",'14. 18-19 Amounts'!D30))</f>
        <v/>
      </c>
      <c r="C34" s="100" t="str">
        <f>IF(B31&gt;=0,"",IF('3. Getting Started'!$B$7="No","",'14. 18-19 Amounts'!F30))</f>
        <v/>
      </c>
      <c r="D34" s="101"/>
      <c r="E34" s="55"/>
      <c r="F34" s="55"/>
      <c r="G34" s="52"/>
      <c r="H34" s="188" t="s">
        <v>169</v>
      </c>
      <c r="I34" s="100" t="str">
        <f>IF(I31&gt;=0,"",IF('3. Getting Started'!$B$7="No","",'4. Multi-Year MOE Summary'!$D$11))</f>
        <v/>
      </c>
      <c r="J34" s="100" t="str">
        <f>IF(I31&gt;=0,"",IF('3. Getting Started'!$B$7="No","",'4. Multi-Year MOE Summary'!$F$11))</f>
        <v/>
      </c>
      <c r="K34" s="101"/>
      <c r="L34" s="55"/>
      <c r="M34" s="55"/>
      <c r="N34" s="83"/>
    </row>
    <row r="35" spans="1:29" x14ac:dyDescent="0.25">
      <c r="A35" s="335" t="s">
        <v>183</v>
      </c>
      <c r="B35" s="328">
        <f>IF(B31&gt;=0,0,IF('3. Getting Started'!$B$7="No",0,B32*B34))</f>
        <v>0</v>
      </c>
      <c r="C35" s="328">
        <f>IF(B31&gt;=0,0,IF('3. Getting Started'!$B$7="No",0,B32*C34))</f>
        <v>0</v>
      </c>
      <c r="D35" s="102"/>
      <c r="E35" s="82"/>
      <c r="F35" s="82"/>
      <c r="G35" s="81"/>
      <c r="H35" s="335" t="s">
        <v>70</v>
      </c>
      <c r="I35" s="328">
        <f>IF(I31&gt;=0,0,IF('3. Getting Started'!$B$7="No",0,I32*I34))</f>
        <v>0</v>
      </c>
      <c r="J35" s="328">
        <f>IF(I31&gt;=0,0,IF('3. Getting Started'!$B$7="No",0,I32*J34))</f>
        <v>0</v>
      </c>
      <c r="K35" s="102"/>
      <c r="L35" s="82"/>
      <c r="M35" s="82"/>
      <c r="N35" s="83"/>
    </row>
    <row r="36" spans="1:29" ht="16.5" thickBot="1" x14ac:dyDescent="0.3">
      <c r="A36" s="498" t="s">
        <v>219</v>
      </c>
      <c r="B36" s="498"/>
      <c r="C36" s="498"/>
      <c r="D36" s="86"/>
      <c r="E36" s="86"/>
      <c r="F36" s="86"/>
      <c r="G36" s="103"/>
      <c r="H36" s="498" t="s">
        <v>219</v>
      </c>
      <c r="I36" s="498"/>
      <c r="J36" s="498"/>
      <c r="K36" s="86"/>
      <c r="L36" s="86"/>
      <c r="M36" s="86"/>
    </row>
    <row r="37" spans="1:29" x14ac:dyDescent="0.25">
      <c r="A37" s="79" t="s">
        <v>229</v>
      </c>
      <c r="B37" s="105"/>
      <c r="C37" s="106"/>
      <c r="D37" s="107"/>
      <c r="E37" s="91"/>
      <c r="F37" s="91"/>
      <c r="G37" s="103"/>
      <c r="H37" s="79" t="s">
        <v>229</v>
      </c>
      <c r="I37" s="105"/>
      <c r="J37" s="106"/>
      <c r="K37" s="107"/>
      <c r="L37" s="91"/>
      <c r="M37" s="91"/>
      <c r="N37" s="504"/>
      <c r="O37" s="504"/>
      <c r="P37" s="504"/>
      <c r="Q37" s="504"/>
      <c r="R37" s="504"/>
      <c r="S37" s="310"/>
      <c r="T37" s="504"/>
      <c r="U37" s="504"/>
      <c r="V37" s="504"/>
      <c r="W37" s="504"/>
      <c r="X37" s="504"/>
      <c r="Y37" s="504"/>
      <c r="Z37" s="109"/>
      <c r="AA37" s="109"/>
    </row>
    <row r="38" spans="1:29" x14ac:dyDescent="0.25">
      <c r="A38" s="110" t="s">
        <v>231</v>
      </c>
      <c r="B38" s="52"/>
      <c r="C38" s="114"/>
      <c r="D38" s="76"/>
      <c r="E38" s="78"/>
      <c r="F38" s="78"/>
      <c r="G38" s="103"/>
      <c r="H38" s="110" t="s">
        <v>231</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2" t="s">
        <v>230</v>
      </c>
      <c r="B39" s="52"/>
      <c r="C39" s="111"/>
      <c r="D39" s="76"/>
      <c r="E39" s="78"/>
      <c r="F39" s="78"/>
      <c r="G39" s="103"/>
      <c r="H39" s="162" t="s">
        <v>230</v>
      </c>
      <c r="I39" s="52"/>
      <c r="J39" s="111"/>
      <c r="K39" s="76"/>
      <c r="L39" s="78"/>
      <c r="M39" s="78"/>
      <c r="N39" s="310"/>
      <c r="O39" s="310"/>
      <c r="P39" s="310"/>
      <c r="Q39" s="310"/>
      <c r="R39" s="310"/>
      <c r="S39" s="310"/>
      <c r="T39" s="310"/>
      <c r="U39" s="310"/>
      <c r="V39" s="310"/>
      <c r="W39" s="310"/>
      <c r="X39" s="310"/>
      <c r="Y39" s="109"/>
      <c r="Z39" s="109"/>
    </row>
    <row r="40" spans="1:29" x14ac:dyDescent="0.25">
      <c r="A40" s="163" t="s">
        <v>62</v>
      </c>
      <c r="B40" s="112" t="s">
        <v>29</v>
      </c>
      <c r="C40" s="164" t="s">
        <v>175</v>
      </c>
      <c r="D40" s="82"/>
      <c r="E40" s="103"/>
      <c r="F40" s="103"/>
      <c r="G40" s="104"/>
      <c r="H40" s="163" t="s">
        <v>62</v>
      </c>
      <c r="I40" s="112" t="s">
        <v>29</v>
      </c>
      <c r="J40" s="164" t="s">
        <v>178</v>
      </c>
      <c r="K40" s="82"/>
      <c r="L40" s="103"/>
      <c r="M40" s="103"/>
      <c r="N40" s="77"/>
      <c r="O40" s="77"/>
      <c r="P40" s="77"/>
      <c r="Q40" s="77"/>
      <c r="R40" s="77"/>
      <c r="S40" s="77"/>
      <c r="T40" s="77"/>
      <c r="U40" s="77"/>
      <c r="V40" s="77"/>
      <c r="W40" s="77"/>
      <c r="X40" s="77"/>
      <c r="Y40" s="109"/>
      <c r="Z40" s="109"/>
    </row>
    <row r="41" spans="1:29" x14ac:dyDescent="0.25">
      <c r="A41" s="165"/>
      <c r="B41" s="127"/>
      <c r="C41" s="166"/>
      <c r="D41" s="103"/>
      <c r="E41" s="103"/>
      <c r="F41" s="103"/>
      <c r="G41" s="104"/>
      <c r="H41" s="165"/>
      <c r="I41" s="127"/>
      <c r="J41" s="166"/>
      <c r="K41" s="103"/>
      <c r="L41" s="103"/>
      <c r="M41" s="103"/>
      <c r="N41" s="77"/>
      <c r="O41" s="77"/>
      <c r="P41" s="77"/>
      <c r="Q41" s="77"/>
      <c r="R41" s="77"/>
      <c r="S41" s="77"/>
      <c r="T41" s="77"/>
      <c r="U41" s="77"/>
      <c r="V41" s="77"/>
      <c r="W41" s="77"/>
      <c r="X41" s="77"/>
      <c r="Y41" s="109"/>
      <c r="Z41" s="109"/>
    </row>
    <row r="42" spans="1:29" x14ac:dyDescent="0.25">
      <c r="A42" s="165"/>
      <c r="B42" s="127"/>
      <c r="C42" s="166"/>
      <c r="D42" s="103"/>
      <c r="E42" s="52"/>
      <c r="F42" s="52"/>
      <c r="G42" s="52"/>
      <c r="H42" s="165"/>
      <c r="I42" s="127"/>
      <c r="J42" s="166"/>
      <c r="K42" s="103"/>
      <c r="L42" s="52"/>
      <c r="M42" s="52"/>
      <c r="N42" s="77"/>
      <c r="O42" s="77"/>
      <c r="P42" s="77"/>
      <c r="Q42" s="77"/>
      <c r="R42" s="77"/>
      <c r="S42" s="77"/>
      <c r="T42" s="77"/>
      <c r="U42" s="77"/>
      <c r="V42" s="77"/>
      <c r="W42" s="77"/>
      <c r="X42" s="77"/>
      <c r="Y42" s="109"/>
      <c r="Z42" s="109"/>
    </row>
    <row r="43" spans="1:29" x14ac:dyDescent="0.25">
      <c r="A43" s="165"/>
      <c r="B43" s="127"/>
      <c r="C43" s="166"/>
      <c r="D43" s="103"/>
      <c r="E43" s="52"/>
      <c r="F43" s="52"/>
      <c r="G43" s="52"/>
      <c r="H43" s="165"/>
      <c r="I43" s="127"/>
      <c r="J43" s="166"/>
      <c r="K43" s="103"/>
      <c r="L43" s="52"/>
      <c r="M43" s="52"/>
      <c r="N43" s="77"/>
      <c r="O43" s="77"/>
      <c r="P43" s="77"/>
      <c r="Q43" s="77"/>
      <c r="R43" s="77"/>
      <c r="S43" s="77"/>
      <c r="T43" s="77"/>
      <c r="U43" s="77"/>
      <c r="V43" s="77"/>
      <c r="W43" s="77"/>
      <c r="X43" s="77"/>
      <c r="Y43" s="109"/>
      <c r="Z43" s="109"/>
    </row>
    <row r="44" spans="1:29" x14ac:dyDescent="0.25">
      <c r="A44" s="165"/>
      <c r="B44" s="127"/>
      <c r="C44" s="166"/>
      <c r="D44" s="103"/>
      <c r="E44" s="81"/>
      <c r="F44" s="81"/>
      <c r="G44" s="81"/>
      <c r="H44" s="165"/>
      <c r="I44" s="127"/>
      <c r="J44" s="166"/>
      <c r="K44" s="103"/>
      <c r="L44" s="81"/>
      <c r="M44" s="81"/>
      <c r="N44" s="77"/>
      <c r="O44" s="77"/>
      <c r="P44" s="77"/>
      <c r="Q44" s="77"/>
      <c r="R44" s="77"/>
      <c r="S44" s="77"/>
      <c r="T44" s="77"/>
      <c r="U44" s="77"/>
      <c r="V44" s="77"/>
      <c r="W44" s="77"/>
      <c r="X44" s="77"/>
      <c r="Y44" s="109"/>
      <c r="Z44" s="109"/>
    </row>
    <row r="45" spans="1:29" x14ac:dyDescent="0.25">
      <c r="A45" s="165"/>
      <c r="B45" s="127"/>
      <c r="C45" s="166"/>
      <c r="D45" s="103"/>
      <c r="E45" s="83"/>
      <c r="F45" s="78"/>
      <c r="H45" s="165"/>
      <c r="I45" s="127"/>
      <c r="J45" s="166"/>
      <c r="K45" s="103"/>
      <c r="L45" s="83"/>
      <c r="M45" s="78"/>
      <c r="N45" s="77"/>
      <c r="O45" s="77"/>
      <c r="P45" s="77"/>
      <c r="Q45" s="77"/>
      <c r="R45" s="77"/>
      <c r="S45" s="77"/>
      <c r="T45" s="77"/>
      <c r="U45" s="77"/>
      <c r="V45" s="77"/>
      <c r="W45" s="77"/>
      <c r="X45" s="77"/>
      <c r="Y45" s="109"/>
      <c r="Z45" s="109"/>
    </row>
    <row r="46" spans="1:29" ht="16.5" thickBot="1" x14ac:dyDescent="0.3">
      <c r="A46" s="168" t="s">
        <v>181</v>
      </c>
      <c r="B46" s="169"/>
      <c r="C46" s="354">
        <f>SUM(C41:C45)</f>
        <v>0</v>
      </c>
      <c r="D46" s="103"/>
      <c r="E46" s="55"/>
      <c r="F46" s="52"/>
      <c r="H46" s="168" t="s">
        <v>30</v>
      </c>
      <c r="I46" s="169"/>
      <c r="J46" s="354">
        <f>SUM(J41:J45)</f>
        <v>0</v>
      </c>
      <c r="K46" s="103"/>
      <c r="L46" s="55"/>
      <c r="M46" s="52"/>
      <c r="N46" s="310"/>
      <c r="O46" s="310"/>
      <c r="P46" s="310"/>
      <c r="Q46" s="310"/>
      <c r="R46" s="310"/>
      <c r="S46" s="310"/>
      <c r="T46" s="310"/>
      <c r="U46" s="310"/>
      <c r="V46" s="310"/>
      <c r="W46" s="310"/>
      <c r="X46" s="310"/>
      <c r="Y46" s="109"/>
      <c r="Z46" s="109"/>
    </row>
    <row r="47" spans="1:29" ht="16.5" thickBot="1" x14ac:dyDescent="0.3">
      <c r="A47" s="496" t="s">
        <v>219</v>
      </c>
      <c r="B47" s="496"/>
      <c r="C47" s="496"/>
      <c r="D47" s="52"/>
      <c r="E47" s="52"/>
      <c r="F47" s="52"/>
      <c r="G47" s="103"/>
      <c r="H47" s="496" t="s">
        <v>219</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233</v>
      </c>
      <c r="B48" s="80"/>
      <c r="C48" s="156"/>
      <c r="D48" s="81"/>
      <c r="E48" s="81"/>
      <c r="F48" s="81"/>
      <c r="G48" s="103"/>
      <c r="H48" s="79" t="s">
        <v>233</v>
      </c>
      <c r="I48" s="80"/>
      <c r="J48" s="156"/>
      <c r="K48" s="81"/>
      <c r="L48" s="81"/>
      <c r="M48" s="81"/>
      <c r="O48" s="77"/>
      <c r="P48" s="77"/>
      <c r="Q48" s="77"/>
      <c r="R48" s="77"/>
      <c r="S48" s="77"/>
      <c r="T48" s="77"/>
      <c r="U48" s="77"/>
      <c r="V48" s="77"/>
      <c r="W48" s="77"/>
      <c r="X48" s="77"/>
      <c r="Y48" s="77"/>
      <c r="Z48" s="77"/>
      <c r="AA48" s="109"/>
      <c r="AB48" s="109"/>
    </row>
    <row r="49" spans="1:24" ht="31.15" customHeight="1" x14ac:dyDescent="0.25">
      <c r="A49" s="51" t="s">
        <v>232</v>
      </c>
      <c r="B49" s="111"/>
      <c r="C49" s="156"/>
      <c r="D49" s="52"/>
      <c r="E49" s="55"/>
      <c r="F49" s="55"/>
      <c r="G49" s="103"/>
      <c r="H49" s="51" t="s">
        <v>232</v>
      </c>
      <c r="I49" s="111"/>
      <c r="J49" s="156"/>
      <c r="K49" s="52"/>
      <c r="L49" s="55"/>
      <c r="M49" s="55"/>
      <c r="N49" s="77"/>
      <c r="O49" s="77"/>
      <c r="P49" s="77"/>
      <c r="Q49" s="77"/>
      <c r="R49" s="77"/>
      <c r="S49" s="77"/>
      <c r="T49" s="77"/>
      <c r="U49" s="77"/>
      <c r="V49" s="77"/>
      <c r="W49" s="109"/>
      <c r="X49" s="109"/>
    </row>
    <row r="50" spans="1:24" x14ac:dyDescent="0.25">
      <c r="A50" s="115" t="s">
        <v>32</v>
      </c>
      <c r="B50" s="170" t="s">
        <v>186</v>
      </c>
      <c r="C50" s="82"/>
      <c r="D50" s="82"/>
      <c r="E50" s="103"/>
      <c r="F50" s="77"/>
      <c r="H50" s="115" t="s">
        <v>32</v>
      </c>
      <c r="I50" s="170" t="s">
        <v>31</v>
      </c>
      <c r="J50" s="82"/>
      <c r="K50" s="82"/>
      <c r="L50" s="103"/>
      <c r="M50" s="77"/>
      <c r="N50" s="77"/>
      <c r="O50" s="77"/>
      <c r="P50" s="77"/>
      <c r="Q50" s="77"/>
      <c r="R50" s="77"/>
      <c r="S50" s="77"/>
      <c r="T50" s="77"/>
      <c r="U50" s="77"/>
      <c r="V50" s="77"/>
      <c r="W50" s="109"/>
      <c r="X50" s="109"/>
    </row>
    <row r="51" spans="1:24" ht="60" customHeight="1" x14ac:dyDescent="0.25">
      <c r="A51" s="191"/>
      <c r="B51" s="171"/>
      <c r="C51" s="103"/>
      <c r="D51" s="103"/>
      <c r="E51" s="103"/>
      <c r="F51" s="52"/>
      <c r="H51" s="191"/>
      <c r="I51" s="171"/>
      <c r="J51" s="103"/>
      <c r="K51" s="103"/>
      <c r="L51" s="103"/>
      <c r="M51" s="52"/>
      <c r="N51" s="77"/>
      <c r="O51" s="77"/>
      <c r="P51" s="77"/>
      <c r="Q51" s="77"/>
      <c r="R51" s="77"/>
      <c r="S51" s="77"/>
      <c r="T51" s="77"/>
      <c r="U51" s="77"/>
      <c r="V51" s="77"/>
      <c r="W51" s="109"/>
      <c r="X51" s="109"/>
    </row>
    <row r="52" spans="1:24" ht="60" customHeight="1" x14ac:dyDescent="0.25">
      <c r="A52" s="191"/>
      <c r="B52" s="171"/>
      <c r="C52" s="103"/>
      <c r="D52" s="103"/>
      <c r="E52" s="104"/>
      <c r="F52" s="104"/>
      <c r="G52" s="104"/>
      <c r="H52" s="191"/>
      <c r="I52" s="171"/>
      <c r="J52" s="103"/>
      <c r="K52" s="103"/>
      <c r="L52" s="104"/>
      <c r="M52" s="104"/>
      <c r="N52" s="77"/>
      <c r="O52" s="77"/>
      <c r="P52" s="77"/>
      <c r="Q52" s="77"/>
      <c r="R52" s="77"/>
      <c r="S52" s="77"/>
      <c r="T52" s="77"/>
      <c r="U52" s="77"/>
      <c r="V52" s="77"/>
      <c r="W52" s="109"/>
      <c r="X52" s="109"/>
    </row>
    <row r="53" spans="1:24" ht="60" customHeight="1" x14ac:dyDescent="0.25">
      <c r="A53" s="191"/>
      <c r="B53" s="171"/>
      <c r="C53" s="103"/>
      <c r="D53" s="103"/>
      <c r="E53" s="52"/>
      <c r="F53" s="52"/>
      <c r="G53" s="52"/>
      <c r="H53" s="191"/>
      <c r="I53" s="171"/>
      <c r="J53" s="103"/>
      <c r="K53" s="103"/>
      <c r="L53" s="52"/>
      <c r="M53" s="52"/>
    </row>
    <row r="54" spans="1:24" ht="60" customHeight="1" x14ac:dyDescent="0.25">
      <c r="A54" s="191"/>
      <c r="B54" s="171"/>
      <c r="C54" s="103"/>
      <c r="D54" s="103"/>
      <c r="E54" s="118"/>
      <c r="F54" s="118"/>
      <c r="G54" s="119"/>
      <c r="H54" s="191"/>
      <c r="I54" s="171"/>
      <c r="J54" s="103"/>
      <c r="K54" s="103"/>
      <c r="L54" s="118"/>
      <c r="M54" s="118"/>
    </row>
    <row r="55" spans="1:24" ht="60" customHeight="1" x14ac:dyDescent="0.25">
      <c r="A55" s="191"/>
      <c r="B55" s="171"/>
      <c r="C55" s="103"/>
      <c r="D55" s="103"/>
      <c r="E55" s="119"/>
      <c r="F55" s="119"/>
      <c r="G55" s="86"/>
      <c r="H55" s="191"/>
      <c r="I55" s="171"/>
      <c r="J55" s="103"/>
      <c r="K55" s="103"/>
      <c r="L55" s="119"/>
      <c r="M55" s="119"/>
    </row>
    <row r="56" spans="1:24" x14ac:dyDescent="0.25">
      <c r="A56" s="120" t="s">
        <v>181</v>
      </c>
      <c r="B56" s="351">
        <f>SUM(B51:B55)</f>
        <v>0</v>
      </c>
      <c r="C56" s="103"/>
      <c r="D56" s="103"/>
      <c r="E56" s="55"/>
      <c r="F56" s="83"/>
      <c r="G56" s="78"/>
      <c r="H56" s="120" t="s">
        <v>30</v>
      </c>
      <c r="I56" s="351">
        <f>SUM(I51:I55)</f>
        <v>0</v>
      </c>
      <c r="J56" s="103"/>
      <c r="K56" s="103"/>
      <c r="L56" s="55"/>
      <c r="M56" s="83"/>
    </row>
    <row r="57" spans="1:24" ht="16.5" thickBot="1" x14ac:dyDescent="0.3">
      <c r="A57" s="498" t="s">
        <v>219</v>
      </c>
      <c r="B57" s="498"/>
      <c r="D57" s="52"/>
      <c r="E57" s="52"/>
      <c r="F57" s="52"/>
      <c r="G57" s="103"/>
      <c r="H57" s="498" t="s">
        <v>219</v>
      </c>
      <c r="I57" s="498"/>
      <c r="K57" s="52"/>
      <c r="L57" s="52"/>
      <c r="M57" s="52"/>
    </row>
    <row r="58" spans="1:24" x14ac:dyDescent="0.25">
      <c r="A58" s="172" t="s">
        <v>235</v>
      </c>
      <c r="B58" s="106"/>
      <c r="C58" s="107"/>
      <c r="D58" s="91"/>
      <c r="E58" s="91"/>
      <c r="F58" s="103"/>
      <c r="G58" s="103"/>
      <c r="H58" s="172" t="s">
        <v>235</v>
      </c>
      <c r="I58" s="106"/>
      <c r="J58" s="107"/>
      <c r="K58" s="91"/>
      <c r="L58" s="91"/>
      <c r="M58" s="103"/>
    </row>
    <row r="59" spans="1:24" ht="28.9" customHeight="1" x14ac:dyDescent="0.25">
      <c r="A59" s="51" t="s">
        <v>234</v>
      </c>
      <c r="B59" s="121"/>
      <c r="C59" s="176"/>
      <c r="D59" s="92"/>
      <c r="E59" s="119"/>
      <c r="F59" s="103"/>
      <c r="G59" s="103"/>
      <c r="H59" s="51" t="s">
        <v>234</v>
      </c>
      <c r="I59" s="121"/>
      <c r="J59" s="176"/>
      <c r="K59" s="92"/>
      <c r="L59" s="119"/>
      <c r="M59" s="103"/>
    </row>
    <row r="60" spans="1:24" x14ac:dyDescent="0.25">
      <c r="A60" s="173" t="s">
        <v>62</v>
      </c>
      <c r="B60" s="174" t="s">
        <v>177</v>
      </c>
      <c r="C60" s="82"/>
      <c r="D60" s="103"/>
      <c r="E60" s="103"/>
      <c r="H60" s="173" t="s">
        <v>62</v>
      </c>
      <c r="I60" s="174" t="s">
        <v>96</v>
      </c>
      <c r="J60" s="82"/>
      <c r="K60" s="103"/>
      <c r="L60" s="103"/>
    </row>
    <row r="61" spans="1:24" x14ac:dyDescent="0.25">
      <c r="A61" s="165"/>
      <c r="B61" s="166"/>
      <c r="C61" s="103"/>
      <c r="D61" s="103"/>
      <c r="E61" s="103"/>
      <c r="H61" s="165"/>
      <c r="I61" s="166"/>
      <c r="J61" s="103"/>
      <c r="K61" s="103"/>
      <c r="L61" s="103"/>
    </row>
    <row r="62" spans="1:24" x14ac:dyDescent="0.25">
      <c r="A62" s="165"/>
      <c r="B62" s="166"/>
      <c r="C62" s="103"/>
      <c r="H62" s="165"/>
      <c r="I62" s="166"/>
      <c r="J62" s="103"/>
    </row>
    <row r="63" spans="1:24" x14ac:dyDescent="0.25">
      <c r="A63" s="165"/>
      <c r="B63" s="166"/>
      <c r="C63" s="103"/>
      <c r="H63" s="165"/>
      <c r="I63" s="166"/>
      <c r="J63" s="103"/>
    </row>
    <row r="64" spans="1:24" x14ac:dyDescent="0.25">
      <c r="A64" s="165"/>
      <c r="B64" s="166"/>
      <c r="C64" s="103"/>
      <c r="H64" s="165"/>
      <c r="I64" s="166"/>
      <c r="J64" s="103"/>
    </row>
    <row r="65" spans="1:13" x14ac:dyDescent="0.25">
      <c r="A65" s="165"/>
      <c r="B65" s="166"/>
      <c r="C65" s="103"/>
      <c r="H65" s="165"/>
      <c r="I65" s="166"/>
      <c r="J65" s="103"/>
    </row>
    <row r="66" spans="1:13" x14ac:dyDescent="0.25">
      <c r="A66" s="175" t="s">
        <v>181</v>
      </c>
      <c r="B66" s="324">
        <f>SUM(B61:B65)</f>
        <v>0</v>
      </c>
      <c r="C66" s="103"/>
      <c r="H66" s="175" t="s">
        <v>30</v>
      </c>
      <c r="I66" s="324">
        <f>SUM(I61:I65)</f>
        <v>0</v>
      </c>
      <c r="J66" s="103"/>
    </row>
    <row r="67" spans="1:13" ht="16.5" thickBot="1" x14ac:dyDescent="0.3">
      <c r="A67" s="491" t="s">
        <v>219</v>
      </c>
      <c r="B67" s="491"/>
      <c r="H67" s="491" t="s">
        <v>219</v>
      </c>
      <c r="I67" s="491"/>
    </row>
    <row r="68" spans="1:13" ht="30" customHeight="1" x14ac:dyDescent="0.25">
      <c r="A68" s="177" t="s">
        <v>88</v>
      </c>
      <c r="B68" s="178"/>
      <c r="C68" s="355"/>
      <c r="D68" s="181"/>
      <c r="H68" s="177" t="s">
        <v>88</v>
      </c>
      <c r="I68" s="178"/>
      <c r="J68" s="355"/>
      <c r="K68" s="181"/>
    </row>
    <row r="69" spans="1:13" x14ac:dyDescent="0.25">
      <c r="A69" s="179" t="s">
        <v>63</v>
      </c>
      <c r="B69" s="184" t="s">
        <v>180</v>
      </c>
      <c r="C69" s="420" t="s">
        <v>224</v>
      </c>
      <c r="H69" s="179" t="s">
        <v>63</v>
      </c>
      <c r="I69" s="184" t="s">
        <v>97</v>
      </c>
      <c r="J69" s="420" t="s">
        <v>224</v>
      </c>
    </row>
    <row r="70" spans="1:13" x14ac:dyDescent="0.25">
      <c r="A70" s="336" t="s">
        <v>180</v>
      </c>
      <c r="B70" s="352">
        <v>0</v>
      </c>
      <c r="C70" s="477" t="s">
        <v>225</v>
      </c>
      <c r="H70" s="336" t="s">
        <v>71</v>
      </c>
      <c r="I70" s="352">
        <v>0</v>
      </c>
      <c r="J70" s="477" t="s">
        <v>225</v>
      </c>
    </row>
    <row r="71" spans="1:13" ht="30" customHeight="1" x14ac:dyDescent="0.25">
      <c r="A71" s="428" t="s">
        <v>258</v>
      </c>
      <c r="B71" s="453"/>
      <c r="C71" s="421"/>
      <c r="H71" s="437"/>
      <c r="I71" s="453"/>
      <c r="J71" s="421"/>
    </row>
    <row r="72" spans="1:13" s="435" customFormat="1" ht="12" x14ac:dyDescent="0.2">
      <c r="A72" s="429" t="s">
        <v>252</v>
      </c>
      <c r="B72" s="455"/>
      <c r="C72" s="456"/>
      <c r="H72" s="454"/>
      <c r="I72" s="455"/>
      <c r="J72" s="456"/>
    </row>
    <row r="73" spans="1:13" x14ac:dyDescent="0.25">
      <c r="A73" s="497" t="s">
        <v>221</v>
      </c>
      <c r="B73" s="497"/>
      <c r="C73" s="497"/>
      <c r="D73" s="497"/>
      <c r="E73" s="497"/>
      <c r="F73" s="497"/>
      <c r="G73" s="497"/>
      <c r="H73" s="497"/>
      <c r="I73" s="497"/>
      <c r="J73" s="497"/>
      <c r="K73" s="497"/>
      <c r="L73" s="497"/>
      <c r="M73" s="497"/>
    </row>
  </sheetData>
  <sheetProtection algorithmName="SHA-512" hashValue="Y2/UBfDx/NjFb/1YJsosM6PvTvOnWG8zol1DIQJSePl1KkQbwAiQzoQUGo9OXivl+3AhNZ/keko/FBP3rIvrNg==" saltValue="3pwoz0fADvnfXFxJ1ZMaAg==" spinCount="100000" sheet="1" objects="1" scenarios="1" insertRows="0"/>
  <mergeCells count="27">
    <mergeCell ref="H26:L26"/>
    <mergeCell ref="H22:M22"/>
    <mergeCell ref="A73:M73"/>
    <mergeCell ref="A67:B67"/>
    <mergeCell ref="H67:I67"/>
    <mergeCell ref="H57:I57"/>
    <mergeCell ref="H47:J47"/>
    <mergeCell ref="H36:J36"/>
    <mergeCell ref="A22:F22"/>
    <mergeCell ref="A26:E26"/>
    <mergeCell ref="A36:C36"/>
    <mergeCell ref="A47:C47"/>
    <mergeCell ref="A57:B5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s>
  <conditionalFormatting sqref="A25">
    <cfRule type="containsText" dxfId="428" priority="12" operator="containsText" text="Not eligible for this exception">
      <formula>NOT(ISERROR(SEARCH("Not eligible for this exception",A25)))</formula>
    </cfRule>
  </conditionalFormatting>
  <conditionalFormatting sqref="H25">
    <cfRule type="containsText" dxfId="427" priority="11" operator="containsText" text="Not eligible for this exception">
      <formula>NOT(ISERROR(SEARCH("Not eligible for this exception",H25)))</formula>
    </cfRule>
  </conditionalFormatting>
  <conditionalFormatting sqref="B34:C35">
    <cfRule type="expression" dxfId="426" priority="8">
      <formula>$B$31&gt;=0</formula>
    </cfRule>
  </conditionalFormatting>
  <conditionalFormatting sqref="I34:J35">
    <cfRule type="expression" dxfId="425" priority="7">
      <formula>$I$31&gt;=0</formula>
    </cfRule>
  </conditionalFormatting>
  <conditionalFormatting sqref="B25:E25">
    <cfRule type="expression" dxfId="424" priority="6">
      <formula>$B$31&gt;=0</formula>
    </cfRule>
  </conditionalFormatting>
  <conditionalFormatting sqref="I25:L25">
    <cfRule type="expression" dxfId="423" priority="5">
      <formula>$I$31&gt;=0</formula>
    </cfRule>
  </conditionalFormatting>
  <hyperlinks>
    <hyperlink ref="C70" r:id="rId1"/>
    <hyperlink ref="J70" r:id="rId2"/>
    <hyperlink ref="A72" r:id="rId3" display="http://cifr.wested.org/resources/lea-moe/calculator/"/>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4" id="{DB1D0F06-16E4-46D5-A93A-090606ADC0C7}">
            <xm:f>'3. Getting Started'!$B$7="Yes"</xm:f>
            <x14:dxf>
              <fill>
                <patternFill>
                  <bgColor theme="1"/>
                </patternFill>
              </fill>
            </x14:dxf>
          </x14:cfRule>
          <xm:sqref>B25:E25</xm:sqref>
        </x14:conditionalFormatting>
        <x14:conditionalFormatting xmlns:xm="http://schemas.microsoft.com/office/excel/2006/main">
          <x14:cfRule type="expression" priority="3" id="{EBAFD527-F1B4-4508-A072-2435E001BD83}">
            <xm:f>'3. Getting Started'!$B$7="Yes"</xm:f>
            <x14:dxf>
              <fill>
                <patternFill>
                  <bgColor theme="1"/>
                </patternFill>
              </fill>
            </x14:dxf>
          </x14:cfRule>
          <xm:sqref>I25:L25</xm:sqref>
        </x14:conditionalFormatting>
        <x14:conditionalFormatting xmlns:xm="http://schemas.microsoft.com/office/excel/2006/main">
          <x14:cfRule type="expression" priority="10" id="{AFDA410A-E4D7-4D57-9D93-C835D99A2E5D}">
            <xm:f>'3. Getting Started'!$B$17="No"</xm:f>
            <x14:dxf>
              <fill>
                <patternFill>
                  <bgColor theme="1"/>
                </patternFill>
              </fill>
            </x14:dxf>
          </x14:cfRule>
          <xm:sqref>A60:B66</xm:sqref>
        </x14:conditionalFormatting>
        <x14:conditionalFormatting xmlns:xm="http://schemas.microsoft.com/office/excel/2006/main">
          <x14:cfRule type="expression" priority="9" id="{C2875012-99E6-4774-B8D4-E45E30FE8101}">
            <xm:f>'3. Getting Started'!$B$17="No"</xm:f>
            <x14:dxf>
              <fill>
                <patternFill>
                  <bgColor theme="1"/>
                </patternFill>
              </fill>
            </x14:dxf>
          </x14:cfRule>
          <xm:sqref>H60:I66</xm:sqref>
        </x14:conditionalFormatting>
        <x14:conditionalFormatting xmlns:xm="http://schemas.microsoft.com/office/excel/2006/main">
          <x14:cfRule type="expression" priority="2" id="{6A5DB816-07EB-4163-A145-03FE1E70115E}">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243</v>
      </c>
      <c r="B1" s="42"/>
      <c r="C1" s="42"/>
      <c r="D1" s="42"/>
      <c r="E1" s="474" t="s">
        <v>254</v>
      </c>
      <c r="F1" s="475"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0"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89" t="s">
        <v>174</v>
      </c>
      <c r="G5" s="60"/>
      <c r="H5" s="55"/>
      <c r="I5" s="55"/>
      <c r="J5" s="55"/>
      <c r="K5" s="55"/>
      <c r="L5" s="55"/>
      <c r="M5" s="55"/>
      <c r="N5" s="55"/>
      <c r="O5" s="55"/>
    </row>
    <row r="6" spans="1:20" x14ac:dyDescent="0.25">
      <c r="A6" s="23"/>
      <c r="B6" s="20"/>
      <c r="C6" s="20"/>
      <c r="D6" s="21"/>
      <c r="E6" s="21"/>
      <c r="F6" s="62">
        <f>D6+E6</f>
        <v>0</v>
      </c>
      <c r="G6" s="64"/>
      <c r="H6" s="64"/>
      <c r="I6" s="64"/>
      <c r="J6" s="64"/>
      <c r="K6" s="64"/>
      <c r="L6" s="64"/>
      <c r="M6" s="64"/>
      <c r="N6" s="64"/>
      <c r="O6" s="64"/>
    </row>
    <row r="7" spans="1:20" x14ac:dyDescent="0.25">
      <c r="A7" s="23"/>
      <c r="B7" s="20"/>
      <c r="C7" s="20"/>
      <c r="D7" s="21"/>
      <c r="E7" s="21"/>
      <c r="F7" s="62">
        <f>D7+E7</f>
        <v>0</v>
      </c>
      <c r="G7" s="64"/>
      <c r="H7" s="64"/>
      <c r="I7" s="64"/>
      <c r="J7" s="64"/>
      <c r="K7" s="64"/>
      <c r="L7" s="64"/>
      <c r="M7" s="64"/>
      <c r="N7" s="64"/>
      <c r="O7" s="64"/>
    </row>
    <row r="8" spans="1:20" x14ac:dyDescent="0.25">
      <c r="A8" s="23"/>
      <c r="B8" s="20"/>
      <c r="C8" s="20"/>
      <c r="D8" s="21"/>
      <c r="E8" s="21"/>
      <c r="F8" s="62">
        <f t="shared" ref="F8:F10" si="0">D8+E8</f>
        <v>0</v>
      </c>
      <c r="G8" s="64"/>
      <c r="H8" s="64"/>
      <c r="I8" s="64"/>
      <c r="J8" s="64"/>
      <c r="K8" s="64"/>
      <c r="L8" s="64"/>
      <c r="M8" s="64"/>
      <c r="N8" s="64"/>
      <c r="O8" s="64"/>
    </row>
    <row r="9" spans="1:20" x14ac:dyDescent="0.25">
      <c r="A9" s="23"/>
      <c r="B9" s="20"/>
      <c r="C9" s="20"/>
      <c r="D9" s="21"/>
      <c r="E9" s="21"/>
      <c r="F9" s="62">
        <f t="shared" si="0"/>
        <v>0</v>
      </c>
      <c r="G9" s="64"/>
      <c r="H9" s="64"/>
      <c r="I9" s="64"/>
      <c r="J9" s="64"/>
      <c r="K9" s="64"/>
      <c r="L9" s="64"/>
      <c r="M9" s="64"/>
      <c r="N9" s="64"/>
      <c r="O9" s="64"/>
    </row>
    <row r="10" spans="1:20" x14ac:dyDescent="0.25">
      <c r="A10" s="23"/>
      <c r="B10" s="20"/>
      <c r="C10" s="20"/>
      <c r="D10" s="21"/>
      <c r="E10" s="21"/>
      <c r="F10" s="62">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2">
        <f t="shared" si="1"/>
        <v>0</v>
      </c>
      <c r="G11" s="64"/>
      <c r="H11" s="64"/>
      <c r="I11" s="64"/>
      <c r="J11" s="64"/>
      <c r="K11" s="64"/>
      <c r="L11" s="64"/>
      <c r="M11" s="64"/>
      <c r="N11" s="64"/>
      <c r="O11" s="64"/>
    </row>
    <row r="12" spans="1:20" ht="36" customHeight="1" thickBot="1" x14ac:dyDescent="0.3">
      <c r="A12" s="158" t="s">
        <v>26</v>
      </c>
      <c r="B12" s="42"/>
      <c r="C12" s="42"/>
      <c r="D12" s="42"/>
      <c r="E12" s="42"/>
      <c r="F12" s="147"/>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90" t="s">
        <v>174</v>
      </c>
      <c r="G13" s="74"/>
      <c r="H13" s="125"/>
      <c r="I13" s="55"/>
      <c r="J13" s="55"/>
      <c r="K13" s="55"/>
      <c r="L13" s="55"/>
      <c r="M13" s="55"/>
      <c r="N13" s="123"/>
      <c r="O13" s="125"/>
    </row>
    <row r="14" spans="1:20" x14ac:dyDescent="0.25">
      <c r="A14" s="24"/>
      <c r="B14" s="39"/>
      <c r="C14" s="466"/>
      <c r="D14" s="21"/>
      <c r="E14" s="21"/>
      <c r="F14" s="63">
        <f t="shared" ref="F14:F18" si="2">D14+E14</f>
        <v>0</v>
      </c>
      <c r="G14" s="64"/>
      <c r="H14" s="64"/>
      <c r="I14" s="64"/>
      <c r="J14" s="64"/>
      <c r="K14" s="64"/>
      <c r="L14" s="64"/>
      <c r="M14" s="64"/>
      <c r="N14" s="64"/>
      <c r="O14" s="64"/>
    </row>
    <row r="15" spans="1:20" x14ac:dyDescent="0.25">
      <c r="A15" s="24"/>
      <c r="B15" s="39"/>
      <c r="C15" s="466"/>
      <c r="D15" s="21"/>
      <c r="E15" s="21"/>
      <c r="F15" s="63">
        <f t="shared" si="2"/>
        <v>0</v>
      </c>
      <c r="G15" s="64"/>
      <c r="H15" s="64"/>
      <c r="I15" s="64"/>
      <c r="J15" s="64"/>
      <c r="K15" s="64"/>
      <c r="L15" s="64"/>
      <c r="M15" s="64"/>
      <c r="N15" s="64"/>
      <c r="O15" s="64"/>
    </row>
    <row r="16" spans="1:20" x14ac:dyDescent="0.25">
      <c r="A16" s="24"/>
      <c r="B16" s="39"/>
      <c r="C16" s="466"/>
      <c r="D16" s="21"/>
      <c r="E16" s="21"/>
      <c r="F16" s="63">
        <f t="shared" si="2"/>
        <v>0</v>
      </c>
      <c r="G16" s="64"/>
      <c r="H16" s="64"/>
      <c r="I16" s="64"/>
      <c r="J16" s="64"/>
      <c r="K16" s="64"/>
      <c r="L16" s="64"/>
      <c r="M16" s="64"/>
      <c r="N16" s="64"/>
      <c r="O16" s="64"/>
    </row>
    <row r="17" spans="1:19" x14ac:dyDescent="0.25">
      <c r="A17" s="24"/>
      <c r="B17" s="39"/>
      <c r="C17" s="466"/>
      <c r="D17" s="21"/>
      <c r="E17" s="21"/>
      <c r="F17" s="63">
        <f t="shared" si="2"/>
        <v>0</v>
      </c>
      <c r="G17" s="64"/>
      <c r="H17" s="64"/>
      <c r="I17" s="64"/>
      <c r="J17" s="64"/>
      <c r="K17" s="64"/>
      <c r="L17" s="64"/>
      <c r="M17" s="64"/>
      <c r="N17" s="64"/>
      <c r="O17" s="64"/>
    </row>
    <row r="18" spans="1:19" x14ac:dyDescent="0.25">
      <c r="A18" s="24"/>
      <c r="B18" s="39"/>
      <c r="C18" s="466"/>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499" t="s">
        <v>219</v>
      </c>
      <c r="B21" s="499"/>
      <c r="C21" s="499"/>
      <c r="D21" s="499"/>
      <c r="E21" s="499"/>
      <c r="F21" s="499"/>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0" t="s">
        <v>219</v>
      </c>
      <c r="B25" s="500"/>
      <c r="C25" s="500"/>
      <c r="D25" s="500"/>
      <c r="E25" s="500"/>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86</v>
      </c>
      <c r="B28" s="402" t="str">
        <f>IF('4. Multi-Year MOE Summary'!C4="","",'4. Multi-Year MOE Summary'!C4)</f>
        <v/>
      </c>
      <c r="C28" s="86"/>
      <c r="D28" s="196"/>
      <c r="E28" s="86"/>
      <c r="F28" s="86"/>
      <c r="G28" s="45"/>
      <c r="H28" s="45"/>
      <c r="I28" s="45"/>
      <c r="J28" s="45"/>
      <c r="K28" s="45"/>
      <c r="L28" s="126"/>
      <c r="M28" s="126"/>
      <c r="N28" s="87"/>
      <c r="O28" s="87"/>
      <c r="P28" s="87"/>
      <c r="Q28" s="87"/>
    </row>
    <row r="29" spans="1:19" x14ac:dyDescent="0.25">
      <c r="A29" s="89" t="s">
        <v>194</v>
      </c>
      <c r="B29" s="402" t="str">
        <f>IF('4. Multi-Year MOE Summary'!C3="","",'4. Multi-Year MOE Summary'!C3)</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195</v>
      </c>
      <c r="B33" s="100" t="str">
        <f>IF(B30&gt;=0,"",IF('3. Getting Started'!B7="No","",'4. Multi-Year MOE Summary'!D3))</f>
        <v/>
      </c>
      <c r="C33" s="100" t="str">
        <f>IF(B30&gt;=0,"",IF('3. Getting Started'!B7="No","",'4. Multi-Year MOE Summary'!F3))</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8" t="s">
        <v>219</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27"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178</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219</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2.9"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8" t="s">
        <v>219</v>
      </c>
      <c r="B56" s="498"/>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96</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1" t="s">
        <v>219</v>
      </c>
      <c r="B66" s="491"/>
      <c r="C66" s="45"/>
      <c r="D66" s="45"/>
      <c r="E66" s="45"/>
      <c r="F66" s="45"/>
      <c r="G66" s="45"/>
      <c r="H66" s="45"/>
      <c r="I66" s="45"/>
      <c r="J66" s="45"/>
      <c r="K66" s="45"/>
    </row>
    <row r="67" spans="1:11" ht="18.75" x14ac:dyDescent="0.25">
      <c r="A67" s="183" t="s">
        <v>88</v>
      </c>
      <c r="B67" s="178"/>
      <c r="C67" s="181"/>
      <c r="D67" s="181"/>
      <c r="E67" s="45"/>
      <c r="F67" s="45"/>
      <c r="G67" s="45"/>
      <c r="H67" s="45"/>
      <c r="I67" s="45"/>
      <c r="J67" s="45"/>
      <c r="K67" s="45"/>
    </row>
    <row r="68" spans="1:11" x14ac:dyDescent="0.25">
      <c r="A68" s="179" t="s">
        <v>63</v>
      </c>
      <c r="B68" s="184" t="s">
        <v>97</v>
      </c>
      <c r="C68" s="420" t="s">
        <v>224</v>
      </c>
      <c r="D68" s="45"/>
      <c r="E68" s="45"/>
      <c r="F68" s="45"/>
      <c r="G68" s="45"/>
      <c r="H68" s="45"/>
      <c r="I68" s="45"/>
    </row>
    <row r="69" spans="1:11" x14ac:dyDescent="0.25">
      <c r="A69" s="336" t="s">
        <v>71</v>
      </c>
      <c r="B69" s="352">
        <v>0</v>
      </c>
      <c r="C69" s="477" t="s">
        <v>225</v>
      </c>
      <c r="D69" s="45"/>
      <c r="E69" s="45"/>
      <c r="F69" s="45"/>
      <c r="G69" s="45"/>
      <c r="H69" s="45"/>
      <c r="I69" s="45"/>
    </row>
    <row r="70" spans="1:11" ht="30" customHeight="1" x14ac:dyDescent="0.25">
      <c r="A70" s="428" t="s">
        <v>258</v>
      </c>
      <c r="B70" s="453"/>
      <c r="C70" s="421"/>
      <c r="D70" s="45"/>
      <c r="E70" s="45"/>
      <c r="F70" s="45"/>
      <c r="G70" s="45"/>
      <c r="H70" s="45"/>
      <c r="I70" s="45"/>
    </row>
    <row r="71" spans="1:11" s="440" customFormat="1" ht="12" x14ac:dyDescent="0.2">
      <c r="A71" s="429" t="s">
        <v>252</v>
      </c>
      <c r="B71" s="455"/>
      <c r="C71" s="457"/>
      <c r="D71" s="436"/>
      <c r="E71" s="436"/>
      <c r="F71" s="436"/>
      <c r="G71" s="436"/>
      <c r="H71" s="436"/>
      <c r="I71" s="436"/>
    </row>
    <row r="72" spans="1:11" x14ac:dyDescent="0.25">
      <c r="A72" s="501" t="s">
        <v>221</v>
      </c>
      <c r="B72" s="501"/>
      <c r="C72" s="501"/>
      <c r="D72" s="501"/>
      <c r="E72" s="501"/>
      <c r="F72" s="501"/>
    </row>
  </sheetData>
  <sheetProtection algorithmName="SHA-512" hashValue="QaP+8ifh6CPDenS8UOX+ClPR2QDes15x7EEM6ZNi6XhYr7Ny5sZBpVg4NmWp/FhsCm7hS5AHXlafR4EJKgxjtQ==" saltValue="foSZTNp+BnBtMRQKZRXSFQ==" spinCount="100000" sheet="1" objects="1" scenarios="1"/>
  <mergeCells count="7">
    <mergeCell ref="A72:F72"/>
    <mergeCell ref="A21:F21"/>
    <mergeCell ref="A25:E25"/>
    <mergeCell ref="A35:C35"/>
    <mergeCell ref="A46:C46"/>
    <mergeCell ref="A56:B56"/>
    <mergeCell ref="A66:B66"/>
  </mergeCells>
  <conditionalFormatting sqref="A24">
    <cfRule type="containsText" dxfId="287" priority="8" operator="containsText" text="Not eligible for this exception">
      <formula>NOT(ISERROR(SEARCH("Not eligible for this exception",A24)))</formula>
    </cfRule>
  </conditionalFormatting>
  <conditionalFormatting sqref="B33:C34">
    <cfRule type="expression" dxfId="286" priority="6">
      <formula>$B$30&gt;=0</formula>
    </cfRule>
  </conditionalFormatting>
  <conditionalFormatting sqref="B24:E24">
    <cfRule type="expression" dxfId="285" priority="5">
      <formula>$B$30&gt;=0</formula>
    </cfRule>
  </conditionalFormatting>
  <hyperlinks>
    <hyperlink ref="C69" r:id="rId1"/>
    <hyperlink ref="A71" r:id="rId2" display="http://cifr.wested.org/resources/lea-moe/calculator/"/>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 id="{40790A61-19BB-4C04-877C-932F196D522F}">
            <xm:f>'3. Getting Started'!$B$7="Yes"</xm:f>
            <x14:dxf>
              <fill>
                <patternFill>
                  <bgColor theme="1"/>
                </patternFill>
              </fill>
            </x14:dxf>
          </x14:cfRule>
          <xm:sqref>B24:E24</xm:sqref>
        </x14:conditionalFormatting>
        <x14:conditionalFormatting xmlns:xm="http://schemas.microsoft.com/office/excel/2006/main">
          <x14:cfRule type="expression" priority="7" id="{39407BB5-75FD-4BEE-BF1C-FA1C455653B4}">
            <xm:f>'3. Getting Started'!$B$9="No"</xm:f>
            <x14:dxf>
              <fill>
                <patternFill>
                  <bgColor theme="1"/>
                </patternFill>
              </fill>
            </x14:dxf>
          </x14:cfRule>
          <xm:sqref>A59:B65</xm:sqref>
        </x14:conditionalFormatting>
        <x14:conditionalFormatting xmlns:xm="http://schemas.microsoft.com/office/excel/2006/main">
          <x14:cfRule type="expression" priority="3" id="{B21BB140-C39D-4579-AC2D-0D5ACF1A7B81}">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244</v>
      </c>
      <c r="B1" s="42"/>
      <c r="C1" s="42"/>
      <c r="D1" s="42"/>
      <c r="E1" s="474" t="s">
        <v>254</v>
      </c>
      <c r="F1" s="475"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0"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89" t="s">
        <v>174</v>
      </c>
      <c r="G5" s="60"/>
      <c r="H5" s="55"/>
      <c r="I5" s="55"/>
      <c r="J5" s="55"/>
      <c r="K5" s="55"/>
      <c r="L5" s="55"/>
      <c r="M5" s="55"/>
      <c r="N5" s="55"/>
      <c r="O5" s="55"/>
    </row>
    <row r="6" spans="1:20" x14ac:dyDescent="0.25">
      <c r="A6" s="23"/>
      <c r="B6" s="20"/>
      <c r="C6" s="20"/>
      <c r="D6" s="21"/>
      <c r="E6" s="21"/>
      <c r="F6" s="62">
        <f>D6+E6</f>
        <v>0</v>
      </c>
      <c r="G6" s="64"/>
      <c r="H6" s="64"/>
      <c r="I6" s="64"/>
      <c r="J6" s="64"/>
      <c r="K6" s="64"/>
      <c r="L6" s="64"/>
      <c r="M6" s="64"/>
      <c r="N6" s="64"/>
      <c r="O6" s="64"/>
    </row>
    <row r="7" spans="1:20" x14ac:dyDescent="0.25">
      <c r="A7" s="23"/>
      <c r="B7" s="20"/>
      <c r="C7" s="20"/>
      <c r="D7" s="21"/>
      <c r="E7" s="21"/>
      <c r="F7" s="62">
        <f>D7+E7</f>
        <v>0</v>
      </c>
      <c r="G7" s="64"/>
      <c r="H7" s="64"/>
      <c r="I7" s="64"/>
      <c r="J7" s="64"/>
      <c r="K7" s="64"/>
      <c r="L7" s="64"/>
      <c r="M7" s="64"/>
      <c r="N7" s="64"/>
      <c r="O7" s="64"/>
    </row>
    <row r="8" spans="1:20" x14ac:dyDescent="0.25">
      <c r="A8" s="23"/>
      <c r="B8" s="20"/>
      <c r="C8" s="20"/>
      <c r="D8" s="21"/>
      <c r="E8" s="21"/>
      <c r="F8" s="62">
        <f t="shared" ref="F8:F10" si="0">D8+E8</f>
        <v>0</v>
      </c>
      <c r="G8" s="64"/>
      <c r="H8" s="64"/>
      <c r="I8" s="64"/>
      <c r="J8" s="64"/>
      <c r="K8" s="64"/>
      <c r="L8" s="64"/>
      <c r="M8" s="64"/>
      <c r="N8" s="64"/>
      <c r="O8" s="64"/>
    </row>
    <row r="9" spans="1:20" x14ac:dyDescent="0.25">
      <c r="A9" s="23"/>
      <c r="B9" s="20"/>
      <c r="C9" s="20"/>
      <c r="D9" s="21"/>
      <c r="E9" s="21"/>
      <c r="F9" s="62">
        <f t="shared" si="0"/>
        <v>0</v>
      </c>
      <c r="G9" s="64"/>
      <c r="H9" s="64"/>
      <c r="I9" s="64"/>
      <c r="J9" s="64"/>
      <c r="K9" s="64"/>
      <c r="L9" s="64"/>
      <c r="M9" s="64"/>
      <c r="N9" s="64"/>
      <c r="O9" s="64"/>
    </row>
    <row r="10" spans="1:20" x14ac:dyDescent="0.25">
      <c r="A10" s="23"/>
      <c r="B10" s="20"/>
      <c r="C10" s="20"/>
      <c r="D10" s="21"/>
      <c r="E10" s="21"/>
      <c r="F10" s="62">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2">
        <f t="shared" si="1"/>
        <v>0</v>
      </c>
      <c r="G11" s="64"/>
      <c r="H11" s="64"/>
      <c r="I11" s="64"/>
      <c r="J11" s="64"/>
      <c r="K11" s="64"/>
      <c r="L11" s="64"/>
      <c r="M11" s="64"/>
      <c r="N11" s="64"/>
      <c r="O11" s="64"/>
    </row>
    <row r="12" spans="1:20" ht="36" customHeight="1" thickBot="1" x14ac:dyDescent="0.3">
      <c r="A12" s="158" t="s">
        <v>26</v>
      </c>
      <c r="B12" s="42"/>
      <c r="C12" s="42"/>
      <c r="D12" s="42"/>
      <c r="E12" s="42"/>
      <c r="F12" s="147"/>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90" t="s">
        <v>174</v>
      </c>
      <c r="G13" s="74"/>
      <c r="H13" s="125"/>
      <c r="I13" s="55"/>
      <c r="J13" s="55"/>
      <c r="K13" s="55"/>
      <c r="L13" s="55"/>
      <c r="M13" s="55"/>
      <c r="N13" s="123"/>
      <c r="O13" s="125"/>
    </row>
    <row r="14" spans="1:20" x14ac:dyDescent="0.25">
      <c r="A14" s="24"/>
      <c r="B14" s="39"/>
      <c r="C14" s="466"/>
      <c r="D14" s="21"/>
      <c r="E14" s="21"/>
      <c r="F14" s="63">
        <f t="shared" ref="F14:F18" si="2">D14+E14</f>
        <v>0</v>
      </c>
      <c r="G14" s="64"/>
      <c r="H14" s="64"/>
      <c r="I14" s="64"/>
      <c r="J14" s="64"/>
      <c r="K14" s="64"/>
      <c r="L14" s="64"/>
      <c r="M14" s="64"/>
      <c r="N14" s="64"/>
      <c r="O14" s="64"/>
    </row>
    <row r="15" spans="1:20" x14ac:dyDescent="0.25">
      <c r="A15" s="24"/>
      <c r="B15" s="39"/>
      <c r="C15" s="466"/>
      <c r="D15" s="21"/>
      <c r="E15" s="21"/>
      <c r="F15" s="63">
        <f t="shared" si="2"/>
        <v>0</v>
      </c>
      <c r="G15" s="64"/>
      <c r="H15" s="64"/>
      <c r="I15" s="64"/>
      <c r="J15" s="64"/>
      <c r="K15" s="64"/>
      <c r="L15" s="64"/>
      <c r="M15" s="64"/>
      <c r="N15" s="64"/>
      <c r="O15" s="64"/>
    </row>
    <row r="16" spans="1:20" x14ac:dyDescent="0.25">
      <c r="A16" s="24"/>
      <c r="B16" s="39"/>
      <c r="C16" s="466"/>
      <c r="D16" s="21"/>
      <c r="E16" s="21"/>
      <c r="F16" s="63">
        <f t="shared" si="2"/>
        <v>0</v>
      </c>
      <c r="G16" s="64"/>
      <c r="H16" s="64"/>
      <c r="I16" s="64"/>
      <c r="J16" s="64"/>
      <c r="K16" s="64"/>
      <c r="L16" s="64"/>
      <c r="M16" s="64"/>
      <c r="N16" s="64"/>
      <c r="O16" s="64"/>
    </row>
    <row r="17" spans="1:19" x14ac:dyDescent="0.25">
      <c r="A17" s="24"/>
      <c r="B17" s="39"/>
      <c r="C17" s="466"/>
      <c r="D17" s="21"/>
      <c r="E17" s="21"/>
      <c r="F17" s="63">
        <f t="shared" si="2"/>
        <v>0</v>
      </c>
      <c r="G17" s="64"/>
      <c r="H17" s="64"/>
      <c r="I17" s="64"/>
      <c r="J17" s="64"/>
      <c r="K17" s="64"/>
      <c r="L17" s="64"/>
      <c r="M17" s="64"/>
      <c r="N17" s="64"/>
      <c r="O17" s="64"/>
    </row>
    <row r="18" spans="1:19" x14ac:dyDescent="0.25">
      <c r="A18" s="24"/>
      <c r="B18" s="39"/>
      <c r="C18" s="466"/>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499" t="s">
        <v>219</v>
      </c>
      <c r="B21" s="499"/>
      <c r="C21" s="499"/>
      <c r="D21" s="499"/>
      <c r="E21" s="499"/>
      <c r="F21" s="499"/>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0" t="s">
        <v>219</v>
      </c>
      <c r="B25" s="500"/>
      <c r="C25" s="500"/>
      <c r="D25" s="500"/>
      <c r="E25" s="500"/>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84</v>
      </c>
      <c r="B28" s="402" t="str">
        <f>IF('4. Multi-Year MOE Summary'!C5="","",'4. Multi-Year MOE Summary'!C5)</f>
        <v/>
      </c>
      <c r="C28" s="86"/>
      <c r="D28" s="196"/>
      <c r="E28" s="86"/>
      <c r="F28" s="86"/>
      <c r="G28" s="45"/>
      <c r="H28" s="45"/>
      <c r="I28" s="45"/>
      <c r="J28" s="45"/>
      <c r="K28" s="45"/>
      <c r="L28" s="126"/>
      <c r="M28" s="126"/>
      <c r="N28" s="87"/>
      <c r="O28" s="87"/>
      <c r="P28" s="87"/>
      <c r="Q28" s="87"/>
    </row>
    <row r="29" spans="1:19" x14ac:dyDescent="0.25">
      <c r="A29" s="89" t="s">
        <v>86</v>
      </c>
      <c r="B29" s="402" t="str">
        <f>IF('4. Multi-Year MOE Summary'!C4="","",'4. Multi-Year MOE Summary'!C4)</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87</v>
      </c>
      <c r="B33" s="100" t="str">
        <f>IF(B30&gt;=0,"",IF('3. Getting Started'!B7="No","",'4. Multi-Year MOE Summary'!D4))</f>
        <v/>
      </c>
      <c r="C33" s="100" t="str">
        <f>IF(B30&gt;=0,"",IF('3. Getting Started'!B7="No","",'4. Multi-Year MOE Summary'!F4))</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8" t="s">
        <v>219</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27"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178</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219</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2.9"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8" t="s">
        <v>219</v>
      </c>
      <c r="B56" s="498"/>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96</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1" t="s">
        <v>219</v>
      </c>
      <c r="B66" s="491"/>
      <c r="C66" s="45"/>
      <c r="D66" s="45"/>
      <c r="E66" s="45"/>
      <c r="F66" s="45"/>
      <c r="G66" s="45"/>
      <c r="H66" s="45"/>
      <c r="I66" s="45"/>
      <c r="J66" s="45"/>
      <c r="K66" s="45"/>
    </row>
    <row r="67" spans="1:11" ht="18.75" x14ac:dyDescent="0.25">
      <c r="A67" s="183" t="s">
        <v>88</v>
      </c>
      <c r="B67" s="178"/>
      <c r="C67" s="181"/>
      <c r="D67" s="181"/>
      <c r="E67" s="45"/>
      <c r="F67" s="45"/>
      <c r="G67" s="45"/>
      <c r="H67" s="45"/>
      <c r="I67" s="45"/>
      <c r="J67" s="45"/>
      <c r="K67" s="45"/>
    </row>
    <row r="68" spans="1:11" x14ac:dyDescent="0.25">
      <c r="A68" s="179" t="s">
        <v>63</v>
      </c>
      <c r="B68" s="184" t="s">
        <v>97</v>
      </c>
      <c r="C68" s="420" t="s">
        <v>224</v>
      </c>
      <c r="D68" s="45"/>
      <c r="E68" s="45"/>
      <c r="F68" s="45"/>
      <c r="G68" s="45"/>
      <c r="H68" s="45"/>
      <c r="I68" s="45"/>
    </row>
    <row r="69" spans="1:11" x14ac:dyDescent="0.25">
      <c r="A69" s="336" t="s">
        <v>71</v>
      </c>
      <c r="B69" s="352">
        <v>0</v>
      </c>
      <c r="C69" s="477" t="s">
        <v>225</v>
      </c>
      <c r="D69" s="45"/>
      <c r="E69" s="45"/>
      <c r="F69" s="45"/>
      <c r="G69" s="45"/>
      <c r="H69" s="45"/>
      <c r="I69" s="45"/>
    </row>
    <row r="70" spans="1:11" ht="30" customHeight="1" x14ac:dyDescent="0.25">
      <c r="A70" s="428" t="s">
        <v>258</v>
      </c>
      <c r="B70" s="425"/>
      <c r="C70" s="425"/>
      <c r="D70" s="425"/>
      <c r="E70" s="425"/>
      <c r="F70" s="425"/>
    </row>
    <row r="71" spans="1:11" x14ac:dyDescent="0.25">
      <c r="A71" s="427" t="s">
        <v>252</v>
      </c>
      <c r="B71" s="425"/>
      <c r="C71" s="425"/>
      <c r="D71" s="425"/>
      <c r="E71" s="425"/>
      <c r="F71" s="425"/>
    </row>
    <row r="72" spans="1:11" x14ac:dyDescent="0.25">
      <c r="A72" s="501" t="s">
        <v>221</v>
      </c>
      <c r="B72" s="501"/>
      <c r="C72" s="501"/>
      <c r="D72" s="501"/>
      <c r="E72" s="501"/>
      <c r="F72" s="501"/>
    </row>
  </sheetData>
  <sheetProtection algorithmName="SHA-512" hashValue="V5yjYgDhp3dt1/EYV/Y7ZENTg9lrcxe0JVzFImaj1BqMCwsdmAgvtxsgziONv1/cY6GKDPkDCEEMYIaByEHJaQ==" saltValue="sAdWQmO1IGB0rPTwvf7hUw==" spinCount="100000" sheet="1" objects="1" scenarios="1"/>
  <mergeCells count="7">
    <mergeCell ref="A72:F72"/>
    <mergeCell ref="A21:F21"/>
    <mergeCell ref="A25:E25"/>
    <mergeCell ref="A35:C35"/>
    <mergeCell ref="A46:C46"/>
    <mergeCell ref="A56:B56"/>
    <mergeCell ref="A66:B66"/>
  </mergeCells>
  <conditionalFormatting sqref="A24">
    <cfRule type="containsText" dxfId="215" priority="8" operator="containsText" text="Not eligible for this exception">
      <formula>NOT(ISERROR(SEARCH("Not eligible for this exception",A24)))</formula>
    </cfRule>
  </conditionalFormatting>
  <conditionalFormatting sqref="B33:C34">
    <cfRule type="expression" dxfId="214" priority="6">
      <formula>$B$30&gt;=0</formula>
    </cfRule>
  </conditionalFormatting>
  <conditionalFormatting sqref="B24:E24">
    <cfRule type="expression" dxfId="213" priority="5">
      <formula>$B$30&gt;=0</formula>
    </cfRule>
  </conditionalFormatting>
  <hyperlinks>
    <hyperlink ref="C69" r:id="rId1"/>
    <hyperlink ref="A71" r:id="rId2" display="http://cifr.wested.org/resources/lea-moe/calculator/"/>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 id="{0209A643-5F65-4AE2-89A5-0DD456F963D7}">
            <xm:f>'3. Getting Started'!$B$7="Yes"</xm:f>
            <x14:dxf>
              <fill>
                <patternFill>
                  <bgColor theme="1"/>
                </patternFill>
              </fill>
            </x14:dxf>
          </x14:cfRule>
          <xm:sqref>B24:E24</xm:sqref>
        </x14:conditionalFormatting>
        <x14:conditionalFormatting xmlns:xm="http://schemas.microsoft.com/office/excel/2006/main">
          <x14:cfRule type="expression" priority="7" id="{71013B20-1DEE-4C61-8D1D-55692C85ADD0}">
            <xm:f>'3. Getting Started'!$B$10="No"</xm:f>
            <x14:dxf>
              <fill>
                <patternFill>
                  <bgColor theme="1"/>
                </patternFill>
              </fill>
            </x14:dxf>
          </x14:cfRule>
          <xm:sqref>A59:B65</xm:sqref>
        </x14:conditionalFormatting>
        <x14:conditionalFormatting xmlns:xm="http://schemas.microsoft.com/office/excel/2006/main">
          <x14:cfRule type="expression" priority="3" id="{0A51E4F3-DB6C-4896-9282-D407212F2F2C}">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245</v>
      </c>
      <c r="B1" s="42"/>
      <c r="C1" s="42"/>
      <c r="D1" s="42"/>
      <c r="E1" s="474" t="s">
        <v>254</v>
      </c>
      <c r="F1" s="475"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4.15"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48" t="s">
        <v>174</v>
      </c>
      <c r="G5" s="60"/>
      <c r="H5" s="55"/>
      <c r="I5" s="55"/>
      <c r="J5" s="55"/>
      <c r="K5" s="55"/>
      <c r="L5" s="55"/>
      <c r="M5" s="55"/>
      <c r="N5" s="55"/>
      <c r="O5" s="55"/>
    </row>
    <row r="6" spans="1:20" x14ac:dyDescent="0.25">
      <c r="A6" s="23"/>
      <c r="B6" s="20"/>
      <c r="C6" s="20"/>
      <c r="D6" s="21"/>
      <c r="E6" s="21"/>
      <c r="F6" s="63">
        <f>D6+E6</f>
        <v>0</v>
      </c>
      <c r="G6" s="64"/>
      <c r="H6" s="64"/>
      <c r="I6" s="64"/>
      <c r="J6" s="64"/>
      <c r="K6" s="64"/>
      <c r="L6" s="64"/>
      <c r="M6" s="64"/>
      <c r="N6" s="64"/>
      <c r="O6" s="64"/>
    </row>
    <row r="7" spans="1:20" x14ac:dyDescent="0.25">
      <c r="A7" s="23"/>
      <c r="B7" s="20"/>
      <c r="C7" s="20"/>
      <c r="D7" s="21"/>
      <c r="E7" s="21"/>
      <c r="F7" s="63">
        <f t="shared" ref="F7:F10" si="0">D7+E7</f>
        <v>0</v>
      </c>
      <c r="G7" s="64"/>
      <c r="H7" s="64"/>
      <c r="I7" s="64"/>
      <c r="J7" s="64"/>
      <c r="K7" s="64"/>
      <c r="L7" s="64"/>
      <c r="M7" s="64"/>
      <c r="N7" s="64"/>
      <c r="O7" s="64"/>
    </row>
    <row r="8" spans="1:20" x14ac:dyDescent="0.25">
      <c r="A8" s="23"/>
      <c r="B8" s="20"/>
      <c r="C8" s="20"/>
      <c r="D8" s="21"/>
      <c r="E8" s="21"/>
      <c r="F8" s="63">
        <f t="shared" si="0"/>
        <v>0</v>
      </c>
      <c r="G8" s="64"/>
      <c r="H8" s="64"/>
      <c r="I8" s="64"/>
      <c r="J8" s="64"/>
      <c r="K8" s="64"/>
      <c r="L8" s="64"/>
      <c r="M8" s="64"/>
      <c r="N8" s="64"/>
      <c r="O8" s="64"/>
    </row>
    <row r="9" spans="1:20" x14ac:dyDescent="0.25">
      <c r="A9" s="23"/>
      <c r="B9" s="20"/>
      <c r="C9" s="20"/>
      <c r="D9" s="21"/>
      <c r="E9" s="21"/>
      <c r="F9" s="63">
        <f t="shared" si="0"/>
        <v>0</v>
      </c>
      <c r="G9" s="64"/>
      <c r="H9" s="64"/>
      <c r="I9" s="64"/>
      <c r="J9" s="64"/>
      <c r="K9" s="64"/>
      <c r="L9" s="64"/>
      <c r="M9" s="64"/>
      <c r="N9" s="64"/>
      <c r="O9" s="64"/>
    </row>
    <row r="10" spans="1:20" x14ac:dyDescent="0.25">
      <c r="A10" s="23"/>
      <c r="B10" s="20"/>
      <c r="C10" s="20"/>
      <c r="D10" s="21"/>
      <c r="E10" s="21"/>
      <c r="F10" s="63">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9">
        <f t="shared" si="1"/>
        <v>0</v>
      </c>
      <c r="G11" s="64"/>
      <c r="H11" s="64"/>
      <c r="I11" s="64"/>
      <c r="J11" s="64"/>
      <c r="K11" s="64"/>
      <c r="L11" s="64"/>
      <c r="M11" s="64"/>
      <c r="N11" s="64"/>
      <c r="O11" s="64"/>
    </row>
    <row r="12" spans="1:20" ht="32.65" customHeight="1" thickBot="1" x14ac:dyDescent="0.3">
      <c r="A12" s="158" t="s">
        <v>26</v>
      </c>
      <c r="B12" s="42"/>
      <c r="C12" s="42"/>
      <c r="D12" s="42"/>
      <c r="E12" s="42"/>
      <c r="F12" s="149"/>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48" t="s">
        <v>174</v>
      </c>
      <c r="G13" s="74"/>
      <c r="H13" s="125"/>
      <c r="I13" s="55"/>
      <c r="J13" s="55"/>
      <c r="K13" s="55"/>
      <c r="L13" s="55"/>
      <c r="M13" s="55"/>
      <c r="N13" s="123"/>
      <c r="O13" s="125"/>
    </row>
    <row r="14" spans="1:20" x14ac:dyDescent="0.25">
      <c r="A14" s="24"/>
      <c r="B14" s="39"/>
      <c r="C14" s="466"/>
      <c r="D14" s="21"/>
      <c r="E14" s="21"/>
      <c r="F14" s="63">
        <f t="shared" ref="F14:F18" si="2">D14+E14</f>
        <v>0</v>
      </c>
      <c r="G14" s="64"/>
      <c r="H14" s="64"/>
      <c r="I14" s="64"/>
      <c r="J14" s="64"/>
      <c r="K14" s="64"/>
      <c r="L14" s="64"/>
      <c r="M14" s="64"/>
      <c r="N14" s="64"/>
      <c r="O14" s="64"/>
    </row>
    <row r="15" spans="1:20" x14ac:dyDescent="0.25">
      <c r="A15" s="24"/>
      <c r="B15" s="39"/>
      <c r="C15" s="466"/>
      <c r="D15" s="21"/>
      <c r="E15" s="21"/>
      <c r="F15" s="63">
        <f t="shared" si="2"/>
        <v>0</v>
      </c>
      <c r="G15" s="64"/>
      <c r="H15" s="64"/>
      <c r="I15" s="64"/>
      <c r="J15" s="64"/>
      <c r="K15" s="64"/>
      <c r="L15" s="64"/>
      <c r="M15" s="64"/>
      <c r="N15" s="64"/>
      <c r="O15" s="64"/>
    </row>
    <row r="16" spans="1:20" x14ac:dyDescent="0.25">
      <c r="A16" s="24"/>
      <c r="B16" s="39"/>
      <c r="C16" s="466"/>
      <c r="D16" s="21"/>
      <c r="E16" s="21"/>
      <c r="F16" s="63">
        <f t="shared" si="2"/>
        <v>0</v>
      </c>
      <c r="G16" s="64"/>
      <c r="H16" s="64"/>
      <c r="I16" s="64"/>
      <c r="J16" s="64"/>
      <c r="K16" s="64"/>
      <c r="L16" s="64"/>
      <c r="M16" s="64"/>
      <c r="N16" s="64"/>
      <c r="O16" s="64"/>
    </row>
    <row r="17" spans="1:19" x14ac:dyDescent="0.25">
      <c r="A17" s="24"/>
      <c r="B17" s="39"/>
      <c r="C17" s="466"/>
      <c r="D17" s="21"/>
      <c r="E17" s="21"/>
      <c r="F17" s="63">
        <f t="shared" si="2"/>
        <v>0</v>
      </c>
      <c r="G17" s="64"/>
      <c r="H17" s="64"/>
      <c r="I17" s="64"/>
      <c r="J17" s="64"/>
      <c r="K17" s="64"/>
      <c r="L17" s="64"/>
      <c r="M17" s="64"/>
      <c r="N17" s="64"/>
      <c r="O17" s="64"/>
    </row>
    <row r="18" spans="1:19" x14ac:dyDescent="0.25">
      <c r="A18" s="24"/>
      <c r="B18" s="39"/>
      <c r="C18" s="466"/>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499" t="s">
        <v>219</v>
      </c>
      <c r="B21" s="499"/>
      <c r="C21" s="499"/>
      <c r="D21" s="499"/>
      <c r="E21" s="499"/>
      <c r="F21" s="499"/>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
      <c r="B25" s="52"/>
      <c r="C25" s="78"/>
      <c r="D25" s="78"/>
      <c r="E25" s="78"/>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82</v>
      </c>
      <c r="B28" s="402" t="str">
        <f>IF('4. Multi-Year MOE Summary'!C6="","",'4. Multi-Year MOE Summary'!C6)</f>
        <v/>
      </c>
      <c r="C28" s="86"/>
      <c r="D28" s="196"/>
      <c r="E28" s="86"/>
      <c r="F28" s="86"/>
      <c r="G28" s="45"/>
      <c r="H28" s="45"/>
      <c r="I28" s="45"/>
      <c r="J28" s="45"/>
      <c r="K28" s="45"/>
      <c r="L28" s="126"/>
      <c r="M28" s="126"/>
      <c r="N28" s="87"/>
      <c r="O28" s="87"/>
      <c r="P28" s="87"/>
      <c r="Q28" s="87"/>
    </row>
    <row r="29" spans="1:19" x14ac:dyDescent="0.25">
      <c r="A29" s="89" t="s">
        <v>84</v>
      </c>
      <c r="B29" s="402" t="str">
        <f>IF('4. Multi-Year MOE Summary'!C5="","",'4. Multi-Year MOE Summary'!C5)</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85</v>
      </c>
      <c r="B33" s="100" t="str">
        <f>IF(B30&gt;=0,"",IF('3. Getting Started'!B7="No","",'4. Multi-Year MOE Summary'!D5))</f>
        <v/>
      </c>
      <c r="C33" s="100" t="str">
        <f>IF(B30&gt;=0,"",IF('3. Getting Started'!B7="No","",'4. Multi-Year MOE Summary'!F5))</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8" t="s">
        <v>219</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28.15"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185</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219</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4"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8" t="s">
        <v>219</v>
      </c>
      <c r="B56" s="498"/>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96</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1" t="s">
        <v>219</v>
      </c>
      <c r="B66" s="491"/>
      <c r="C66" s="45"/>
      <c r="D66" s="45"/>
      <c r="E66" s="45"/>
      <c r="F66" s="45"/>
      <c r="G66" s="45"/>
      <c r="H66" s="45"/>
      <c r="I66" s="45"/>
      <c r="J66" s="45"/>
      <c r="K66" s="45"/>
    </row>
    <row r="67" spans="1:11" ht="18.75" x14ac:dyDescent="0.25">
      <c r="A67" s="183" t="s">
        <v>88</v>
      </c>
      <c r="B67" s="178"/>
      <c r="C67" s="349"/>
      <c r="D67" s="181"/>
      <c r="E67" s="45"/>
      <c r="F67" s="45"/>
      <c r="G67" s="45"/>
      <c r="H67" s="45"/>
      <c r="I67" s="45"/>
      <c r="J67" s="45"/>
      <c r="K67" s="45"/>
    </row>
    <row r="68" spans="1:11" x14ac:dyDescent="0.25">
      <c r="A68" s="179" t="s">
        <v>63</v>
      </c>
      <c r="B68" s="184" t="s">
        <v>97</v>
      </c>
      <c r="C68" s="420" t="s">
        <v>224</v>
      </c>
      <c r="D68" s="45"/>
      <c r="E68" s="45"/>
      <c r="F68" s="45"/>
      <c r="G68" s="45"/>
      <c r="H68" s="45"/>
      <c r="I68" s="45"/>
    </row>
    <row r="69" spans="1:11" x14ac:dyDescent="0.25">
      <c r="A69" s="336" t="s">
        <v>71</v>
      </c>
      <c r="B69" s="352">
        <v>0</v>
      </c>
      <c r="C69" s="477" t="s">
        <v>225</v>
      </c>
      <c r="D69" s="45"/>
      <c r="E69" s="45"/>
      <c r="F69" s="45"/>
      <c r="G69" s="45"/>
      <c r="H69" s="45"/>
      <c r="I69" s="45"/>
    </row>
    <row r="70" spans="1:11" ht="30" customHeight="1" x14ac:dyDescent="0.25">
      <c r="A70" s="428" t="s">
        <v>258</v>
      </c>
      <c r="B70" s="425"/>
      <c r="C70" s="425"/>
      <c r="D70" s="425"/>
      <c r="E70" s="425"/>
      <c r="F70" s="425"/>
    </row>
    <row r="71" spans="1:11" x14ac:dyDescent="0.25">
      <c r="A71" s="429" t="s">
        <v>252</v>
      </c>
      <c r="B71" s="425"/>
      <c r="C71" s="425"/>
      <c r="D71" s="425"/>
      <c r="E71" s="425"/>
      <c r="F71" s="425"/>
    </row>
    <row r="72" spans="1:11" x14ac:dyDescent="0.25">
      <c r="A72" s="501" t="s">
        <v>221</v>
      </c>
      <c r="B72" s="501"/>
      <c r="C72" s="501"/>
      <c r="D72" s="501"/>
      <c r="E72" s="501"/>
      <c r="F72" s="501"/>
    </row>
  </sheetData>
  <sheetProtection algorithmName="SHA-512" hashValue="+8Eu/0IdGbeBQ5Vf9hhButtVSrI5tz9EV0h8OuvHQeZwqlbQnPvhWNXzqDTQQUQQ0Slc6Ddlhwgr6CVvzBbu2A==" saltValue="S6f/bLbJcOMKwG2Np9hkKg==" spinCount="100000" sheet="1" objects="1" scenarios="1"/>
  <mergeCells count="6">
    <mergeCell ref="A72:F72"/>
    <mergeCell ref="A21:F21"/>
    <mergeCell ref="A35:C35"/>
    <mergeCell ref="A46:C46"/>
    <mergeCell ref="A56:B56"/>
    <mergeCell ref="A66:B66"/>
  </mergeCells>
  <conditionalFormatting sqref="A24">
    <cfRule type="containsText" dxfId="143" priority="6" operator="containsText" text="Not eligible for this exception">
      <formula>NOT(ISERROR(SEARCH("Not eligible for this exception",A24)))</formula>
    </cfRule>
  </conditionalFormatting>
  <conditionalFormatting sqref="B33:C34">
    <cfRule type="expression" dxfId="142" priority="4">
      <formula>$B$30&gt;=0</formula>
    </cfRule>
  </conditionalFormatting>
  <conditionalFormatting sqref="B24:E24">
    <cfRule type="expression" dxfId="141" priority="3">
      <formula>$B$30&gt;=0</formula>
    </cfRule>
  </conditionalFormatting>
  <hyperlinks>
    <hyperlink ref="C69" r:id="rId1"/>
    <hyperlink ref="A71" r:id="rId2" display="http://cifr.wested.org/resources/lea-moe/calculator/"/>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2" id="{EEF3D99E-A528-4D4F-911C-80CE30965EC2}">
            <xm:f>'3. Getting Started'!$B$7="Yes"</xm:f>
            <x14:dxf>
              <fill>
                <patternFill>
                  <bgColor theme="1"/>
                </patternFill>
              </fill>
            </x14:dxf>
          </x14:cfRule>
          <xm:sqref>B24:E24</xm:sqref>
        </x14:conditionalFormatting>
        <x14:conditionalFormatting xmlns:xm="http://schemas.microsoft.com/office/excel/2006/main">
          <x14:cfRule type="expression" priority="5" id="{B461352D-9774-4E9D-AACB-9C52A6332DD2}">
            <xm:f>'3. Getting Started'!$B$11="No"</xm:f>
            <x14:dxf>
              <fill>
                <patternFill>
                  <bgColor theme="1"/>
                </patternFill>
              </fill>
            </x14:dxf>
          </x14:cfRule>
          <xm:sqref>A59:B65</xm:sqref>
        </x14:conditionalFormatting>
        <x14:conditionalFormatting xmlns:xm="http://schemas.microsoft.com/office/excel/2006/main">
          <x14:cfRule type="expression" priority="1" id="{2B2E03A4-49B2-4280-BCCC-4C069DAA4CF4}">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pageSetUpPr autoPageBreaks="0"/>
  </sheetPr>
  <dimension ref="A1:AB72"/>
  <sheetViews>
    <sheetView zoomScale="90" zoomScaleNormal="90" workbookViewId="0">
      <pane ySplit="1" topLeftCell="A2" activePane="bottomLeft" state="frozen"/>
      <selection pane="bottomLeft" activeCell="A6" sqref="A6"/>
    </sheetView>
  </sheetViews>
  <sheetFormatPr defaultColWidth="0" defaultRowHeight="15.75" zeroHeight="1" x14ac:dyDescent="0.25"/>
  <cols>
    <col min="1" max="1" width="35.25" style="83" customWidth="1"/>
    <col min="2" max="2" width="28.75" style="83" bestFit="1" customWidth="1"/>
    <col min="3" max="5" width="24.75" style="83" customWidth="1"/>
    <col min="6" max="6" width="29.75" style="83" bestFit="1" customWidth="1"/>
    <col min="7" max="11" width="24.75" style="83" hidden="1" customWidth="1"/>
    <col min="12" max="12" width="12.75" style="83" hidden="1" customWidth="1"/>
    <col min="13" max="13" width="11.75" style="83" hidden="1" customWidth="1"/>
    <col min="14" max="18" width="10.75" style="83" hidden="1" customWidth="1"/>
    <col min="19" max="19" width="12" style="83" hidden="1" customWidth="1"/>
    <col min="20" max="28" width="0" style="83" hidden="1" customWidth="1"/>
    <col min="29" max="16384" width="10.75" style="83" hidden="1"/>
  </cols>
  <sheetData>
    <row r="1" spans="1:20" ht="25.9" customHeight="1" thickBot="1" x14ac:dyDescent="0.3">
      <c r="A1" s="46" t="s">
        <v>246</v>
      </c>
      <c r="B1" s="42"/>
      <c r="C1" s="42"/>
      <c r="D1" s="42"/>
      <c r="E1" s="474" t="s">
        <v>254</v>
      </c>
      <c r="F1" s="475" t="str">
        <f>IF('3. Getting Started'!$B2="","",'3. Getting Started'!$B2)</f>
        <v/>
      </c>
      <c r="G1" s="43"/>
      <c r="H1" s="42"/>
      <c r="I1" s="43"/>
      <c r="J1" s="42"/>
      <c r="K1" s="42"/>
      <c r="L1" s="123"/>
      <c r="M1" s="123"/>
      <c r="N1" s="123"/>
      <c r="O1" s="123"/>
      <c r="P1" s="123"/>
      <c r="Q1" s="123"/>
      <c r="R1" s="123"/>
      <c r="S1" s="123"/>
      <c r="T1" s="123"/>
    </row>
    <row r="2" spans="1:20" x14ac:dyDescent="0.25">
      <c r="A2" s="46" t="s">
        <v>226</v>
      </c>
      <c r="B2" s="47"/>
      <c r="C2" s="48"/>
      <c r="D2" s="48"/>
      <c r="E2" s="48"/>
      <c r="F2" s="49"/>
      <c r="G2" s="50"/>
      <c r="H2" s="50"/>
      <c r="I2" s="50"/>
      <c r="J2" s="50"/>
      <c r="K2" s="50"/>
      <c r="L2" s="124"/>
      <c r="M2" s="124"/>
      <c r="N2" s="124"/>
      <c r="O2" s="124"/>
      <c r="P2" s="124"/>
      <c r="Q2" s="124"/>
      <c r="R2" s="124"/>
      <c r="S2" s="124"/>
    </row>
    <row r="3" spans="1:20" x14ac:dyDescent="0.25">
      <c r="A3" s="51" t="s">
        <v>236</v>
      </c>
      <c r="B3" s="52"/>
      <c r="C3" s="50"/>
      <c r="D3" s="50"/>
      <c r="E3" s="50"/>
      <c r="F3" s="53"/>
      <c r="G3" s="50"/>
      <c r="H3" s="50"/>
      <c r="I3" s="50"/>
      <c r="J3" s="50"/>
      <c r="K3" s="50"/>
      <c r="M3" s="55"/>
      <c r="N3" s="55"/>
      <c r="O3" s="55"/>
      <c r="P3" s="55"/>
      <c r="Q3" s="55"/>
      <c r="R3" s="55"/>
    </row>
    <row r="4" spans="1:20" ht="33.4" customHeight="1" thickBot="1" x14ac:dyDescent="0.3">
      <c r="A4" s="157" t="s">
        <v>21</v>
      </c>
      <c r="B4" s="54"/>
      <c r="C4" s="54"/>
      <c r="D4" s="54"/>
      <c r="E4" s="54"/>
      <c r="F4" s="147"/>
      <c r="G4" s="54"/>
      <c r="H4" s="54"/>
      <c r="I4" s="54"/>
      <c r="J4" s="44"/>
      <c r="K4" s="55"/>
      <c r="L4" s="55"/>
      <c r="M4" s="55"/>
      <c r="N4" s="55"/>
      <c r="O4" s="55"/>
      <c r="P4" s="55"/>
      <c r="Q4" s="55"/>
      <c r="R4" s="55"/>
      <c r="S4" s="55"/>
    </row>
    <row r="5" spans="1:20" x14ac:dyDescent="0.25">
      <c r="A5" s="56" t="s">
        <v>22</v>
      </c>
      <c r="B5" s="57" t="s">
        <v>23</v>
      </c>
      <c r="C5" s="58" t="s">
        <v>24</v>
      </c>
      <c r="D5" s="58" t="s">
        <v>94</v>
      </c>
      <c r="E5" s="59" t="s">
        <v>95</v>
      </c>
      <c r="F5" s="148" t="s">
        <v>174</v>
      </c>
      <c r="G5" s="60"/>
      <c r="H5" s="55"/>
      <c r="I5" s="55"/>
      <c r="J5" s="55"/>
      <c r="K5" s="55"/>
      <c r="L5" s="55"/>
      <c r="M5" s="55"/>
      <c r="N5" s="55"/>
      <c r="O5" s="55"/>
    </row>
    <row r="6" spans="1:20" x14ac:dyDescent="0.25">
      <c r="A6" s="23"/>
      <c r="B6" s="20"/>
      <c r="C6" s="20"/>
      <c r="D6" s="21"/>
      <c r="E6" s="21"/>
      <c r="F6" s="63">
        <f>D6+E6</f>
        <v>0</v>
      </c>
      <c r="G6" s="64"/>
      <c r="H6" s="64"/>
      <c r="I6" s="64"/>
      <c r="J6" s="64"/>
      <c r="K6" s="64"/>
      <c r="L6" s="64"/>
      <c r="M6" s="64"/>
      <c r="N6" s="64"/>
      <c r="O6" s="64"/>
    </row>
    <row r="7" spans="1:20" x14ac:dyDescent="0.25">
      <c r="A7" s="23"/>
      <c r="B7" s="20"/>
      <c r="C7" s="20"/>
      <c r="D7" s="21"/>
      <c r="E7" s="21"/>
      <c r="F7" s="63">
        <f t="shared" ref="F7:F10" si="0">D7+E7</f>
        <v>0</v>
      </c>
      <c r="G7" s="64"/>
      <c r="H7" s="64"/>
      <c r="I7" s="64"/>
      <c r="J7" s="64"/>
      <c r="K7" s="64"/>
      <c r="L7" s="64"/>
      <c r="M7" s="64"/>
      <c r="N7" s="64"/>
      <c r="O7" s="64"/>
    </row>
    <row r="8" spans="1:20" x14ac:dyDescent="0.25">
      <c r="A8" s="23"/>
      <c r="B8" s="20"/>
      <c r="C8" s="20"/>
      <c r="D8" s="21"/>
      <c r="E8" s="21"/>
      <c r="F8" s="63">
        <f t="shared" si="0"/>
        <v>0</v>
      </c>
      <c r="G8" s="64"/>
      <c r="H8" s="64"/>
      <c r="I8" s="64"/>
      <c r="J8" s="64"/>
      <c r="K8" s="64"/>
      <c r="L8" s="64"/>
      <c r="M8" s="64"/>
      <c r="N8" s="64"/>
      <c r="O8" s="64"/>
    </row>
    <row r="9" spans="1:20" x14ac:dyDescent="0.25">
      <c r="A9" s="23"/>
      <c r="B9" s="20"/>
      <c r="C9" s="20"/>
      <c r="D9" s="21"/>
      <c r="E9" s="21"/>
      <c r="F9" s="63">
        <f t="shared" si="0"/>
        <v>0</v>
      </c>
      <c r="G9" s="64"/>
      <c r="H9" s="64"/>
      <c r="I9" s="64"/>
      <c r="J9" s="64"/>
      <c r="K9" s="64"/>
      <c r="L9" s="64"/>
      <c r="M9" s="64"/>
      <c r="N9" s="64"/>
      <c r="O9" s="64"/>
    </row>
    <row r="10" spans="1:20" x14ac:dyDescent="0.25">
      <c r="A10" s="23"/>
      <c r="B10" s="20"/>
      <c r="C10" s="20"/>
      <c r="D10" s="21"/>
      <c r="E10" s="21"/>
      <c r="F10" s="63">
        <f t="shared" si="0"/>
        <v>0</v>
      </c>
      <c r="G10" s="64"/>
      <c r="H10" s="64"/>
      <c r="I10" s="64"/>
      <c r="J10" s="64"/>
      <c r="K10" s="64"/>
      <c r="L10" s="64"/>
      <c r="M10" s="64"/>
      <c r="N10" s="64"/>
      <c r="O10" s="64"/>
    </row>
    <row r="11" spans="1:20" ht="16.5" thickBot="1" x14ac:dyDescent="0.3">
      <c r="A11" s="65"/>
      <c r="B11" s="66"/>
      <c r="C11" s="67" t="s">
        <v>25</v>
      </c>
      <c r="D11" s="68">
        <f t="shared" ref="D11:F11" si="1">SUM(D6:D10)</f>
        <v>0</v>
      </c>
      <c r="E11" s="68">
        <f t="shared" si="1"/>
        <v>0</v>
      </c>
      <c r="F11" s="69">
        <f t="shared" si="1"/>
        <v>0</v>
      </c>
      <c r="G11" s="64"/>
      <c r="H11" s="64"/>
      <c r="I11" s="64"/>
      <c r="J11" s="64"/>
      <c r="K11" s="64"/>
      <c r="L11" s="64"/>
      <c r="M11" s="64"/>
      <c r="N11" s="64"/>
      <c r="O11" s="64"/>
    </row>
    <row r="12" spans="1:20" ht="37.15" customHeight="1" thickBot="1" x14ac:dyDescent="0.3">
      <c r="A12" s="158" t="s">
        <v>26</v>
      </c>
      <c r="B12" s="42"/>
      <c r="C12" s="42"/>
      <c r="D12" s="42"/>
      <c r="E12" s="42"/>
      <c r="F12" s="149"/>
      <c r="G12" s="54"/>
      <c r="H12" s="54"/>
      <c r="I12" s="54"/>
      <c r="J12" s="75"/>
      <c r="K12" s="55"/>
      <c r="L12" s="70"/>
      <c r="M12" s="55"/>
      <c r="N12" s="55"/>
      <c r="O12" s="55"/>
      <c r="P12" s="55"/>
      <c r="Q12" s="55"/>
      <c r="R12" s="55"/>
      <c r="S12" s="70"/>
    </row>
    <row r="13" spans="1:20" x14ac:dyDescent="0.25">
      <c r="A13" s="71" t="s">
        <v>22</v>
      </c>
      <c r="B13" s="72" t="s">
        <v>23</v>
      </c>
      <c r="C13" s="73" t="s">
        <v>63</v>
      </c>
      <c r="D13" s="58" t="s">
        <v>94</v>
      </c>
      <c r="E13" s="59" t="s">
        <v>95</v>
      </c>
      <c r="F13" s="148" t="s">
        <v>174</v>
      </c>
      <c r="G13" s="74"/>
      <c r="H13" s="125"/>
      <c r="I13" s="55"/>
      <c r="J13" s="55"/>
      <c r="K13" s="55"/>
      <c r="L13" s="55"/>
      <c r="M13" s="55"/>
      <c r="N13" s="123"/>
      <c r="O13" s="125"/>
    </row>
    <row r="14" spans="1:20" x14ac:dyDescent="0.25">
      <c r="A14" s="24"/>
      <c r="B14" s="39"/>
      <c r="C14" s="466"/>
      <c r="D14" s="21"/>
      <c r="E14" s="21"/>
      <c r="F14" s="63">
        <f t="shared" ref="F14:F18" si="2">D14+E14</f>
        <v>0</v>
      </c>
      <c r="G14" s="64"/>
      <c r="H14" s="64"/>
      <c r="I14" s="64"/>
      <c r="J14" s="64"/>
      <c r="K14" s="64"/>
      <c r="L14" s="64"/>
      <c r="M14" s="64"/>
      <c r="N14" s="64"/>
      <c r="O14" s="64"/>
    </row>
    <row r="15" spans="1:20" x14ac:dyDescent="0.25">
      <c r="A15" s="24"/>
      <c r="B15" s="39"/>
      <c r="C15" s="466"/>
      <c r="D15" s="21"/>
      <c r="E15" s="21"/>
      <c r="F15" s="63">
        <f t="shared" si="2"/>
        <v>0</v>
      </c>
      <c r="G15" s="64"/>
      <c r="H15" s="64"/>
      <c r="I15" s="64"/>
      <c r="J15" s="64"/>
      <c r="K15" s="64"/>
      <c r="L15" s="64"/>
      <c r="M15" s="64"/>
      <c r="N15" s="64"/>
      <c r="O15" s="64"/>
    </row>
    <row r="16" spans="1:20" x14ac:dyDescent="0.25">
      <c r="A16" s="24"/>
      <c r="B16" s="39"/>
      <c r="C16" s="466"/>
      <c r="D16" s="21"/>
      <c r="E16" s="21"/>
      <c r="F16" s="63">
        <f t="shared" si="2"/>
        <v>0</v>
      </c>
      <c r="G16" s="64"/>
      <c r="H16" s="64"/>
      <c r="I16" s="64"/>
      <c r="J16" s="64"/>
      <c r="K16" s="64"/>
      <c r="L16" s="64"/>
      <c r="M16" s="64"/>
      <c r="N16" s="64"/>
      <c r="O16" s="64"/>
    </row>
    <row r="17" spans="1:19" x14ac:dyDescent="0.25">
      <c r="A17" s="24"/>
      <c r="B17" s="39"/>
      <c r="C17" s="466"/>
      <c r="D17" s="21"/>
      <c r="E17" s="21"/>
      <c r="F17" s="63">
        <f t="shared" si="2"/>
        <v>0</v>
      </c>
      <c r="G17" s="64"/>
      <c r="H17" s="64"/>
      <c r="I17" s="64"/>
      <c r="J17" s="64"/>
      <c r="K17" s="64"/>
      <c r="L17" s="64"/>
      <c r="M17" s="64"/>
      <c r="N17" s="64"/>
      <c r="O17" s="64"/>
    </row>
    <row r="18" spans="1:19" x14ac:dyDescent="0.25">
      <c r="A18" s="24"/>
      <c r="B18" s="39"/>
      <c r="C18" s="466"/>
      <c r="D18" s="21"/>
      <c r="E18" s="21"/>
      <c r="F18" s="63">
        <f t="shared" si="2"/>
        <v>0</v>
      </c>
      <c r="G18" s="64"/>
      <c r="H18" s="64"/>
      <c r="I18" s="64"/>
      <c r="J18" s="64"/>
      <c r="K18" s="64"/>
      <c r="L18" s="64"/>
      <c r="M18" s="64"/>
      <c r="N18" s="64"/>
      <c r="O18" s="64"/>
    </row>
    <row r="19" spans="1:19" x14ac:dyDescent="0.25">
      <c r="A19" s="159"/>
      <c r="B19" s="160"/>
      <c r="C19" s="161" t="s">
        <v>27</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2"/>
      <c r="B20" s="193"/>
      <c r="C20" s="193"/>
      <c r="D20" s="194" t="s">
        <v>28</v>
      </c>
      <c r="E20" s="195"/>
      <c r="F20" s="322">
        <f>F11-F19</f>
        <v>0</v>
      </c>
      <c r="G20" s="77"/>
      <c r="I20" s="77"/>
      <c r="J20" s="70"/>
      <c r="K20" s="70"/>
      <c r="L20" s="70"/>
      <c r="M20" s="70"/>
      <c r="N20" s="70"/>
      <c r="O20" s="70"/>
      <c r="P20" s="70"/>
      <c r="Q20" s="70"/>
      <c r="R20" s="70"/>
      <c r="S20" s="70"/>
    </row>
    <row r="21" spans="1:19" ht="16.5" thickBot="1" x14ac:dyDescent="0.3">
      <c r="A21" s="499" t="s">
        <v>219</v>
      </c>
      <c r="B21" s="499"/>
      <c r="C21" s="499"/>
      <c r="D21" s="499"/>
      <c r="E21" s="499"/>
      <c r="F21" s="499"/>
      <c r="G21" s="78"/>
      <c r="H21" s="78"/>
      <c r="I21" s="78"/>
      <c r="J21" s="78"/>
      <c r="K21" s="78"/>
      <c r="L21" s="70"/>
      <c r="M21" s="70"/>
      <c r="N21" s="70"/>
      <c r="O21" s="70"/>
      <c r="P21" s="70"/>
      <c r="Q21" s="70"/>
      <c r="R21" s="70"/>
      <c r="S21" s="70"/>
    </row>
    <row r="22" spans="1:19" x14ac:dyDescent="0.25">
      <c r="A22" s="79" t="s">
        <v>227</v>
      </c>
      <c r="B22" s="43"/>
      <c r="C22" s="43"/>
      <c r="D22" s="43"/>
      <c r="E22" s="80"/>
      <c r="F22" s="1" t="s">
        <v>104</v>
      </c>
      <c r="G22" s="78"/>
      <c r="H22" s="78"/>
      <c r="I22" s="78"/>
      <c r="J22" s="78"/>
      <c r="K22" s="78"/>
    </row>
    <row r="23" spans="1:19" x14ac:dyDescent="0.25">
      <c r="A23" s="185" t="s">
        <v>63</v>
      </c>
      <c r="B23" s="186" t="s">
        <v>34</v>
      </c>
      <c r="C23" s="186" t="s">
        <v>0</v>
      </c>
      <c r="D23" s="186" t="s">
        <v>1</v>
      </c>
      <c r="E23" s="187" t="s">
        <v>98</v>
      </c>
      <c r="F23" s="199" t="s">
        <v>105</v>
      </c>
      <c r="G23" s="78"/>
      <c r="H23" s="78"/>
      <c r="I23" s="78"/>
      <c r="J23" s="78"/>
      <c r="K23" s="78"/>
    </row>
    <row r="24" spans="1:19" x14ac:dyDescent="0.25">
      <c r="A24" s="335" t="str">
        <f>IF(B30="","Allowed Reduction",IF(B30&lt;0,"Allowed Reduction",IF(B30&gt;=0,"Not eligible for this exception","Allowed Reduction")))</f>
        <v>Allowed Reduction</v>
      </c>
      <c r="B24" s="329"/>
      <c r="C24" s="329"/>
      <c r="D24" s="329"/>
      <c r="E24" s="330"/>
      <c r="F24" s="199" t="s">
        <v>106</v>
      </c>
      <c r="G24" s="78"/>
      <c r="H24" s="78"/>
      <c r="I24" s="78"/>
      <c r="J24" s="78"/>
      <c r="K24" s="78"/>
      <c r="L24" s="82"/>
      <c r="M24" s="82"/>
      <c r="N24" s="82"/>
      <c r="O24" s="82"/>
    </row>
    <row r="25" spans="1:19" ht="16.5" thickBot="1" x14ac:dyDescent="0.3">
      <c r="A25" s="500" t="s">
        <v>219</v>
      </c>
      <c r="B25" s="500"/>
      <c r="C25" s="500"/>
      <c r="D25" s="500"/>
      <c r="E25" s="500"/>
      <c r="F25" s="199" t="s">
        <v>107</v>
      </c>
      <c r="G25" s="78"/>
      <c r="H25" s="78"/>
      <c r="I25" s="78"/>
      <c r="J25" s="78"/>
      <c r="K25" s="78"/>
      <c r="L25" s="87"/>
      <c r="M25" s="87"/>
      <c r="N25" s="87"/>
      <c r="O25" s="87"/>
      <c r="P25" s="87"/>
    </row>
    <row r="26" spans="1:19" x14ac:dyDescent="0.25">
      <c r="A26" s="79" t="s">
        <v>228</v>
      </c>
      <c r="B26" s="43"/>
      <c r="C26" s="43"/>
      <c r="D26" s="156"/>
      <c r="E26" s="81"/>
      <c r="F26" s="81"/>
      <c r="G26" s="45"/>
      <c r="H26" s="45"/>
      <c r="I26" s="45"/>
      <c r="J26" s="45"/>
      <c r="K26" s="45"/>
      <c r="L26" s="87"/>
      <c r="M26" s="87"/>
      <c r="N26" s="87"/>
      <c r="O26" s="87"/>
      <c r="P26" s="87"/>
      <c r="Q26" s="87"/>
    </row>
    <row r="27" spans="1:19" x14ac:dyDescent="0.25">
      <c r="A27" s="84" t="s">
        <v>63</v>
      </c>
      <c r="B27" s="85" t="s">
        <v>64</v>
      </c>
      <c r="C27" s="86"/>
      <c r="D27" s="196"/>
      <c r="E27" s="86"/>
      <c r="F27" s="86"/>
      <c r="G27" s="45"/>
      <c r="H27" s="45"/>
      <c r="I27" s="45"/>
      <c r="J27" s="45"/>
      <c r="K27" s="45"/>
      <c r="L27" s="126"/>
      <c r="M27" s="126"/>
      <c r="N27" s="87"/>
      <c r="O27" s="87"/>
      <c r="P27" s="87"/>
      <c r="Q27" s="87"/>
    </row>
    <row r="28" spans="1:19" x14ac:dyDescent="0.25">
      <c r="A28" s="89" t="s">
        <v>80</v>
      </c>
      <c r="B28" s="402" t="str">
        <f>IF('4. Multi-Year MOE Summary'!C7="","",'4. Multi-Year MOE Summary'!C7)</f>
        <v/>
      </c>
      <c r="C28" s="86"/>
      <c r="D28" s="196"/>
      <c r="E28" s="86"/>
      <c r="F28" s="86"/>
      <c r="G28" s="45"/>
      <c r="H28" s="45"/>
      <c r="I28" s="45"/>
      <c r="J28" s="45"/>
      <c r="K28" s="45"/>
      <c r="L28" s="126"/>
      <c r="M28" s="126"/>
      <c r="N28" s="87"/>
      <c r="O28" s="87"/>
      <c r="P28" s="87"/>
      <c r="Q28" s="87"/>
    </row>
    <row r="29" spans="1:19" x14ac:dyDescent="0.25">
      <c r="A29" s="89" t="s">
        <v>82</v>
      </c>
      <c r="B29" s="402" t="str">
        <f>IF('4. Multi-Year MOE Summary'!C6="","",'4. Multi-Year MOE Summary'!C6)</f>
        <v/>
      </c>
      <c r="C29" s="87"/>
      <c r="D29" s="197"/>
      <c r="E29" s="87"/>
      <c r="F29" s="86"/>
      <c r="G29" s="86"/>
      <c r="H29" s="86"/>
      <c r="I29" s="86"/>
      <c r="J29" s="86"/>
      <c r="K29" s="86"/>
      <c r="L29" s="126"/>
      <c r="M29" s="126"/>
      <c r="N29" s="93"/>
      <c r="O29" s="93"/>
      <c r="P29" s="93"/>
      <c r="Q29" s="93"/>
    </row>
    <row r="30" spans="1:19" x14ac:dyDescent="0.25">
      <c r="A30" s="89" t="s">
        <v>67</v>
      </c>
      <c r="B30" s="90" t="str">
        <f>IF(B28="","",B28-B29)</f>
        <v/>
      </c>
      <c r="C30" s="86" t="str">
        <f>IF(B30="","",IF(B30&gt;=0,"Not eligible for this exception",""))</f>
        <v/>
      </c>
      <c r="D30" s="196"/>
      <c r="E30" s="86"/>
      <c r="F30" s="86"/>
      <c r="G30" s="91"/>
      <c r="H30" s="91"/>
      <c r="I30" s="92"/>
      <c r="J30" s="78"/>
      <c r="K30" s="45"/>
      <c r="L30" s="126"/>
      <c r="M30" s="126"/>
      <c r="N30" s="97"/>
      <c r="O30" s="97"/>
      <c r="P30" s="97"/>
      <c r="Q30" s="97"/>
    </row>
    <row r="31" spans="1:19" x14ac:dyDescent="0.25">
      <c r="A31" s="94" t="s">
        <v>68</v>
      </c>
      <c r="B31" s="95" t="str">
        <f>IF(B30&lt;=0,ABS(B30/B29),"")</f>
        <v/>
      </c>
      <c r="C31" s="96"/>
      <c r="D31" s="198"/>
      <c r="E31" s="96"/>
      <c r="F31" s="78"/>
      <c r="G31" s="78"/>
      <c r="H31" s="52"/>
      <c r="I31" s="52"/>
      <c r="J31" s="78"/>
      <c r="K31" s="45"/>
      <c r="L31" s="126"/>
      <c r="M31" s="126"/>
      <c r="N31" s="98"/>
      <c r="O31" s="98"/>
      <c r="P31" s="99"/>
      <c r="Q31" s="99"/>
    </row>
    <row r="32" spans="1:19" x14ac:dyDescent="0.25">
      <c r="A32" s="185" t="s">
        <v>63</v>
      </c>
      <c r="B32" s="186" t="s">
        <v>34</v>
      </c>
      <c r="C32" s="186" t="s">
        <v>0</v>
      </c>
      <c r="D32" s="78"/>
      <c r="E32" s="52"/>
      <c r="F32" s="52"/>
      <c r="G32" s="78"/>
      <c r="H32" s="45"/>
      <c r="I32" s="45"/>
      <c r="L32" s="99"/>
      <c r="M32" s="99"/>
      <c r="N32" s="99"/>
      <c r="O32" s="99"/>
    </row>
    <row r="33" spans="1:28" x14ac:dyDescent="0.25">
      <c r="A33" s="188" t="s">
        <v>83</v>
      </c>
      <c r="B33" s="100" t="str">
        <f>IF(B30&gt;=0,"",IF('3. Getting Started'!B7="No","",'4. Multi-Year MOE Summary'!D6))</f>
        <v/>
      </c>
      <c r="C33" s="100" t="str">
        <f>IF(B30&gt;=0,"",IF('3. Getting Started'!B7="No","",'4. Multi-Year MOE Summary'!F6))</f>
        <v/>
      </c>
      <c r="D33" s="101"/>
      <c r="E33" s="55"/>
      <c r="F33" s="55"/>
      <c r="G33" s="52"/>
      <c r="H33" s="45"/>
      <c r="I33" s="45"/>
      <c r="L33" s="99"/>
      <c r="M33" s="99"/>
    </row>
    <row r="34" spans="1:28" x14ac:dyDescent="0.25">
      <c r="A34" s="335" t="s">
        <v>70</v>
      </c>
      <c r="B34" s="328">
        <f>IF(B30&gt;=0,0,IF('3. Getting Started'!B7="No",0,B31*B33))</f>
        <v>0</v>
      </c>
      <c r="C34" s="328">
        <f>IF(B30&gt;=0,0,IF('3. Getting Started'!B7="No",0,B31*C33))</f>
        <v>0</v>
      </c>
      <c r="D34" s="102"/>
      <c r="E34" s="82"/>
      <c r="F34" s="82"/>
      <c r="G34" s="81"/>
      <c r="H34" s="52"/>
      <c r="I34" s="45"/>
      <c r="J34" s="87"/>
      <c r="K34" s="87"/>
    </row>
    <row r="35" spans="1:28" ht="16.5" thickBot="1" x14ac:dyDescent="0.3">
      <c r="A35" s="498" t="s">
        <v>219</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229</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231</v>
      </c>
      <c r="B37" s="52"/>
      <c r="C37" s="114"/>
      <c r="D37" s="76"/>
      <c r="E37" s="78"/>
      <c r="F37" s="78"/>
      <c r="G37" s="103"/>
      <c r="H37" s="103"/>
      <c r="I37" s="104"/>
      <c r="J37" s="77"/>
      <c r="K37" s="45"/>
      <c r="P37" s="55"/>
      <c r="Q37" s="55"/>
      <c r="R37" s="55"/>
      <c r="S37" s="55"/>
      <c r="T37" s="55"/>
      <c r="U37" s="55"/>
      <c r="V37" s="55"/>
      <c r="W37" s="55"/>
      <c r="X37" s="55"/>
      <c r="Y37" s="55"/>
      <c r="Z37" s="55"/>
      <c r="AA37" s="55"/>
    </row>
    <row r="38" spans="1:28" ht="31.15" customHeight="1" x14ac:dyDescent="0.25">
      <c r="A38" s="162" t="s">
        <v>230</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3" t="s">
        <v>62</v>
      </c>
      <c r="B39" s="112" t="s">
        <v>29</v>
      </c>
      <c r="C39" s="164" t="s">
        <v>178</v>
      </c>
      <c r="D39" s="82"/>
      <c r="E39" s="103"/>
      <c r="F39" s="103"/>
      <c r="G39" s="104"/>
      <c r="H39" s="77"/>
      <c r="I39" s="45"/>
      <c r="J39" s="103"/>
      <c r="K39" s="70"/>
      <c r="P39" s="70"/>
      <c r="Q39" s="70"/>
      <c r="R39" s="70"/>
      <c r="S39" s="70"/>
      <c r="T39" s="70"/>
      <c r="U39" s="70"/>
      <c r="V39" s="70"/>
      <c r="W39" s="70"/>
      <c r="X39" s="70"/>
      <c r="Y39" s="70"/>
      <c r="Z39" s="70"/>
      <c r="AA39" s="70"/>
    </row>
    <row r="40" spans="1:28" x14ac:dyDescent="0.25">
      <c r="A40" s="165"/>
      <c r="B40" s="127"/>
      <c r="C40" s="166"/>
      <c r="D40" s="103"/>
      <c r="E40" s="103"/>
      <c r="F40" s="103"/>
      <c r="G40" s="104"/>
      <c r="H40" s="77"/>
      <c r="I40" s="45"/>
      <c r="J40" s="103"/>
      <c r="K40" s="70"/>
      <c r="P40" s="70"/>
      <c r="Q40" s="70"/>
      <c r="R40" s="70"/>
      <c r="S40" s="70"/>
      <c r="T40" s="70"/>
      <c r="U40" s="70"/>
      <c r="V40" s="70"/>
      <c r="W40" s="70"/>
      <c r="X40" s="70"/>
      <c r="Y40" s="70"/>
      <c r="Z40" s="70"/>
      <c r="AA40" s="70"/>
    </row>
    <row r="41" spans="1:28" x14ac:dyDescent="0.25">
      <c r="A41" s="165"/>
      <c r="B41" s="127"/>
      <c r="C41" s="166"/>
      <c r="D41" s="103"/>
      <c r="E41" s="52"/>
      <c r="F41" s="52"/>
      <c r="G41" s="52"/>
      <c r="H41" s="52"/>
      <c r="I41" s="52"/>
      <c r="J41" s="103"/>
      <c r="K41" s="70"/>
      <c r="P41" s="70"/>
      <c r="Q41" s="70"/>
      <c r="R41" s="70"/>
      <c r="S41" s="70"/>
      <c r="T41" s="70"/>
      <c r="U41" s="70"/>
      <c r="V41" s="70"/>
      <c r="W41" s="70"/>
      <c r="X41" s="70"/>
      <c r="Y41" s="70"/>
      <c r="Z41" s="70"/>
      <c r="AA41" s="70"/>
    </row>
    <row r="42" spans="1:28" x14ac:dyDescent="0.25">
      <c r="A42" s="165"/>
      <c r="B42" s="127"/>
      <c r="C42" s="166"/>
      <c r="D42" s="103"/>
      <c r="E42" s="52"/>
      <c r="F42" s="52"/>
      <c r="G42" s="52"/>
      <c r="H42" s="52"/>
      <c r="I42" s="52"/>
      <c r="J42" s="103"/>
      <c r="K42" s="70"/>
      <c r="P42" s="70"/>
      <c r="Q42" s="70"/>
      <c r="R42" s="70"/>
      <c r="S42" s="70"/>
      <c r="T42" s="70"/>
      <c r="U42" s="70"/>
      <c r="V42" s="70"/>
      <c r="W42" s="70"/>
      <c r="X42" s="70"/>
      <c r="Y42" s="70"/>
      <c r="Z42" s="70"/>
      <c r="AA42" s="70"/>
    </row>
    <row r="43" spans="1:28" x14ac:dyDescent="0.25">
      <c r="A43" s="165"/>
      <c r="B43" s="127"/>
      <c r="C43" s="166"/>
      <c r="D43" s="103"/>
      <c r="E43" s="81"/>
      <c r="F43" s="81"/>
      <c r="G43" s="81"/>
      <c r="H43" s="92"/>
      <c r="I43" s="78"/>
      <c r="J43" s="103"/>
      <c r="K43" s="70"/>
      <c r="P43" s="70"/>
      <c r="Q43" s="70"/>
      <c r="R43" s="70"/>
      <c r="S43" s="70"/>
      <c r="T43" s="70"/>
      <c r="U43" s="70"/>
      <c r="V43" s="70"/>
      <c r="W43" s="70"/>
      <c r="X43" s="70"/>
      <c r="Y43" s="70"/>
      <c r="Z43" s="70"/>
      <c r="AA43" s="70"/>
    </row>
    <row r="44" spans="1:28" x14ac:dyDescent="0.25">
      <c r="A44" s="165"/>
      <c r="B44" s="127"/>
      <c r="C44" s="166"/>
      <c r="D44" s="103"/>
      <c r="F44" s="78"/>
      <c r="G44" s="45"/>
      <c r="H44" s="45"/>
      <c r="I44" s="77"/>
      <c r="J44" s="103"/>
      <c r="K44" s="70"/>
      <c r="P44" s="55"/>
      <c r="Q44" s="55"/>
      <c r="R44" s="55"/>
      <c r="S44" s="55"/>
      <c r="T44" s="55"/>
      <c r="U44" s="55"/>
      <c r="V44" s="55"/>
      <c r="W44" s="55"/>
      <c r="X44" s="55"/>
      <c r="Y44" s="55"/>
      <c r="Z44" s="55"/>
      <c r="AA44" s="55"/>
    </row>
    <row r="45" spans="1:28" x14ac:dyDescent="0.25">
      <c r="A45" s="167" t="s">
        <v>30</v>
      </c>
      <c r="B45" s="113"/>
      <c r="C45" s="323">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219</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233</v>
      </c>
      <c r="B47" s="80"/>
      <c r="C47" s="156"/>
      <c r="D47" s="81"/>
      <c r="E47" s="81"/>
      <c r="F47" s="81"/>
      <c r="G47" s="103"/>
      <c r="H47" s="77"/>
      <c r="I47" s="45"/>
      <c r="J47" s="45"/>
      <c r="K47" s="45"/>
      <c r="O47" s="70"/>
      <c r="P47" s="70"/>
      <c r="Q47" s="70"/>
      <c r="R47" s="70"/>
      <c r="S47" s="70"/>
      <c r="T47" s="70"/>
      <c r="U47" s="70"/>
      <c r="V47" s="70"/>
      <c r="W47" s="70"/>
      <c r="X47" s="70"/>
      <c r="Y47" s="70"/>
      <c r="Z47" s="70"/>
    </row>
    <row r="48" spans="1:28" ht="26.65" customHeight="1" x14ac:dyDescent="0.25">
      <c r="A48" s="51" t="s">
        <v>232</v>
      </c>
      <c r="B48" s="111"/>
      <c r="C48" s="156"/>
      <c r="D48" s="52"/>
      <c r="E48" s="55"/>
      <c r="F48" s="55"/>
      <c r="G48" s="103"/>
      <c r="H48" s="77"/>
      <c r="I48" s="45"/>
      <c r="J48" s="45"/>
      <c r="K48" s="45"/>
      <c r="O48" s="70"/>
      <c r="P48" s="70"/>
      <c r="Q48" s="70"/>
      <c r="R48" s="70"/>
      <c r="S48" s="70"/>
      <c r="T48" s="70"/>
      <c r="U48" s="70"/>
      <c r="V48" s="70"/>
      <c r="W48" s="70"/>
      <c r="X48" s="70"/>
      <c r="Y48" s="70"/>
      <c r="Z48" s="70"/>
    </row>
    <row r="49" spans="1:26" x14ac:dyDescent="0.25">
      <c r="A49" s="115" t="s">
        <v>32</v>
      </c>
      <c r="B49" s="117" t="s">
        <v>31</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91"/>
      <c r="B50" s="171"/>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91"/>
      <c r="B51" s="171"/>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91"/>
      <c r="B52" s="171"/>
      <c r="C52" s="103"/>
      <c r="D52" s="103"/>
      <c r="E52" s="52"/>
      <c r="F52" s="52"/>
      <c r="G52" s="52"/>
      <c r="H52" s="52"/>
      <c r="I52" s="52"/>
      <c r="J52" s="70"/>
    </row>
    <row r="53" spans="1:26" ht="60" customHeight="1" x14ac:dyDescent="0.25">
      <c r="A53" s="191"/>
      <c r="B53" s="171"/>
      <c r="C53" s="103"/>
      <c r="D53" s="103"/>
      <c r="E53" s="118"/>
      <c r="F53" s="118"/>
      <c r="G53" s="119"/>
      <c r="H53" s="86"/>
      <c r="I53" s="86"/>
      <c r="J53" s="70"/>
    </row>
    <row r="54" spans="1:26" ht="60" customHeight="1" x14ac:dyDescent="0.25">
      <c r="A54" s="191"/>
      <c r="B54" s="171"/>
      <c r="C54" s="103"/>
      <c r="D54" s="103"/>
      <c r="E54" s="119"/>
      <c r="F54" s="119"/>
      <c r="G54" s="86"/>
      <c r="H54" s="86"/>
      <c r="I54" s="45"/>
      <c r="J54" s="70"/>
    </row>
    <row r="55" spans="1:26" x14ac:dyDescent="0.25">
      <c r="A55" s="120" t="s">
        <v>30</v>
      </c>
      <c r="B55" s="351">
        <f>SUM(B50:B54)</f>
        <v>0</v>
      </c>
      <c r="C55" s="103"/>
      <c r="D55" s="103"/>
      <c r="E55" s="55"/>
      <c r="G55" s="78"/>
      <c r="H55" s="45"/>
      <c r="I55" s="45"/>
      <c r="J55" s="70"/>
    </row>
    <row r="56" spans="1:26" ht="16.5" thickBot="1" x14ac:dyDescent="0.3">
      <c r="A56" s="498" t="s">
        <v>219</v>
      </c>
      <c r="B56" s="498"/>
      <c r="C56" s="45"/>
      <c r="D56" s="52"/>
      <c r="E56" s="52"/>
      <c r="F56" s="52"/>
      <c r="G56" s="103"/>
      <c r="H56" s="103"/>
      <c r="I56" s="45"/>
      <c r="J56" s="45"/>
      <c r="K56" s="45"/>
    </row>
    <row r="57" spans="1:26" x14ac:dyDescent="0.25">
      <c r="A57" s="172" t="s">
        <v>235</v>
      </c>
      <c r="B57" s="106"/>
      <c r="C57" s="107"/>
      <c r="D57" s="91"/>
      <c r="E57" s="91"/>
      <c r="F57" s="103"/>
      <c r="G57" s="103"/>
      <c r="H57" s="45"/>
      <c r="I57" s="45"/>
      <c r="J57" s="45"/>
    </row>
    <row r="58" spans="1:26" ht="28.15" customHeight="1" x14ac:dyDescent="0.25">
      <c r="A58" s="51" t="s">
        <v>234</v>
      </c>
      <c r="B58" s="121"/>
      <c r="C58" s="176"/>
      <c r="D58" s="92"/>
      <c r="E58" s="119"/>
      <c r="F58" s="103"/>
      <c r="G58" s="103"/>
      <c r="H58" s="45"/>
      <c r="I58" s="45"/>
      <c r="J58" s="45"/>
      <c r="K58" s="87"/>
      <c r="L58" s="87"/>
    </row>
    <row r="59" spans="1:26" x14ac:dyDescent="0.25">
      <c r="A59" s="182" t="s">
        <v>62</v>
      </c>
      <c r="B59" s="164" t="s">
        <v>33</v>
      </c>
      <c r="C59" s="82"/>
      <c r="D59" s="103"/>
      <c r="E59" s="103"/>
      <c r="F59" s="45"/>
      <c r="G59" s="45"/>
      <c r="H59" s="45"/>
    </row>
    <row r="60" spans="1:26" ht="15.4" customHeight="1" x14ac:dyDescent="0.25">
      <c r="A60" s="165"/>
      <c r="B60" s="166"/>
      <c r="C60" s="103"/>
      <c r="D60" s="103"/>
      <c r="E60" s="103"/>
      <c r="F60" s="45"/>
      <c r="G60" s="45"/>
      <c r="H60" s="45"/>
    </row>
    <row r="61" spans="1:26" x14ac:dyDescent="0.25">
      <c r="A61" s="165"/>
      <c r="B61" s="166"/>
      <c r="C61" s="103"/>
      <c r="D61" s="45"/>
      <c r="E61" s="45"/>
      <c r="F61" s="45"/>
      <c r="G61" s="45"/>
      <c r="H61" s="45"/>
    </row>
    <row r="62" spans="1:26" x14ac:dyDescent="0.25">
      <c r="A62" s="165"/>
      <c r="B62" s="166"/>
      <c r="C62" s="103"/>
      <c r="D62" s="45"/>
      <c r="E62" s="45"/>
      <c r="F62" s="45"/>
      <c r="G62" s="45"/>
      <c r="H62" s="45"/>
    </row>
    <row r="63" spans="1:26" x14ac:dyDescent="0.25">
      <c r="A63" s="165"/>
      <c r="B63" s="166"/>
      <c r="C63" s="103"/>
      <c r="D63" s="45"/>
      <c r="E63" s="45"/>
      <c r="F63" s="45"/>
      <c r="G63" s="45"/>
      <c r="H63" s="45"/>
    </row>
    <row r="64" spans="1:26" x14ac:dyDescent="0.25">
      <c r="A64" s="165"/>
      <c r="B64" s="166"/>
      <c r="C64" s="103"/>
      <c r="D64" s="45"/>
      <c r="E64" s="45"/>
      <c r="F64" s="45"/>
      <c r="G64" s="45"/>
      <c r="H64" s="45"/>
    </row>
    <row r="65" spans="1:11" x14ac:dyDescent="0.25">
      <c r="A65" s="167" t="s">
        <v>30</v>
      </c>
      <c r="B65" s="323">
        <f>SUM(B60:B64)</f>
        <v>0</v>
      </c>
      <c r="C65" s="103"/>
      <c r="D65" s="45"/>
      <c r="E65" s="45"/>
      <c r="F65" s="45"/>
      <c r="G65" s="45"/>
      <c r="H65" s="45"/>
    </row>
    <row r="66" spans="1:11" ht="16.5" thickBot="1" x14ac:dyDescent="0.3">
      <c r="A66" s="491" t="s">
        <v>219</v>
      </c>
      <c r="B66" s="491"/>
      <c r="C66" s="45"/>
      <c r="D66" s="45"/>
      <c r="E66" s="45"/>
      <c r="F66" s="45"/>
      <c r="G66" s="45"/>
      <c r="H66" s="45"/>
      <c r="I66" s="45"/>
      <c r="J66" s="45"/>
      <c r="K66" s="45"/>
    </row>
    <row r="67" spans="1:11" ht="28.9" customHeight="1" x14ac:dyDescent="0.25">
      <c r="A67" s="183" t="s">
        <v>88</v>
      </c>
      <c r="B67" s="178"/>
      <c r="C67" s="349"/>
      <c r="D67" s="181"/>
      <c r="E67" s="45"/>
      <c r="F67" s="45"/>
      <c r="G67" s="45"/>
      <c r="H67" s="45"/>
      <c r="I67" s="45"/>
      <c r="J67" s="45"/>
      <c r="K67" s="45"/>
    </row>
    <row r="68" spans="1:11" x14ac:dyDescent="0.25">
      <c r="A68" s="122" t="s">
        <v>63</v>
      </c>
      <c r="B68" s="184" t="s">
        <v>97</v>
      </c>
      <c r="C68" s="419" t="s">
        <v>224</v>
      </c>
      <c r="E68" s="45"/>
      <c r="F68" s="45"/>
      <c r="G68" s="45"/>
      <c r="H68" s="45"/>
      <c r="I68" s="45"/>
    </row>
    <row r="69" spans="1:11" x14ac:dyDescent="0.25">
      <c r="A69" s="353" t="s">
        <v>71</v>
      </c>
      <c r="B69" s="352">
        <v>0</v>
      </c>
      <c r="C69" s="476" t="s">
        <v>225</v>
      </c>
      <c r="D69" s="45"/>
      <c r="E69" s="45"/>
      <c r="F69" s="45"/>
      <c r="G69" s="45"/>
      <c r="H69" s="45"/>
      <c r="I69" s="45"/>
    </row>
    <row r="70" spans="1:11" ht="30" customHeight="1" x14ac:dyDescent="0.25">
      <c r="A70" s="428" t="s">
        <v>258</v>
      </c>
      <c r="B70" s="425"/>
      <c r="C70" s="425"/>
      <c r="D70" s="425"/>
      <c r="E70" s="425"/>
      <c r="F70" s="425"/>
    </row>
    <row r="71" spans="1:11" x14ac:dyDescent="0.25">
      <c r="A71" s="429" t="s">
        <v>252</v>
      </c>
      <c r="B71" s="425"/>
      <c r="C71" s="425"/>
      <c r="D71" s="425"/>
      <c r="E71" s="425"/>
      <c r="F71" s="425"/>
    </row>
    <row r="72" spans="1:11" x14ac:dyDescent="0.25">
      <c r="A72" s="501" t="s">
        <v>221</v>
      </c>
      <c r="B72" s="501"/>
      <c r="C72" s="501"/>
      <c r="D72" s="501"/>
      <c r="E72" s="501"/>
      <c r="F72" s="501"/>
    </row>
  </sheetData>
  <sheetProtection algorithmName="SHA-512" hashValue="lVIh9HywbSYaOPXC69dFAum+g5gywYn0ZRFfLCHeLfThpwBfINbSzxRNcA3+uTArinxx+Fnh3kXpk4n0762FVA==" saltValue="ieO4SxnifXe94VZA09kYyg==" spinCount="100000" sheet="1" objects="1" scenarios="1"/>
  <mergeCells count="7">
    <mergeCell ref="A72:F72"/>
    <mergeCell ref="A21:F21"/>
    <mergeCell ref="A25:E25"/>
    <mergeCell ref="A35:C35"/>
    <mergeCell ref="A46:C46"/>
    <mergeCell ref="A56:B56"/>
    <mergeCell ref="A66:B66"/>
  </mergeCells>
  <conditionalFormatting sqref="A24">
    <cfRule type="containsText" dxfId="71" priority="6" operator="containsText" text="Not eligible for this exception">
      <formula>NOT(ISERROR(SEARCH("Not eligible for this exception",A24)))</formula>
    </cfRule>
  </conditionalFormatting>
  <conditionalFormatting sqref="B33:C34">
    <cfRule type="expression" dxfId="70" priority="4">
      <formula>$B$30&gt;=0</formula>
    </cfRule>
  </conditionalFormatting>
  <conditionalFormatting sqref="B24:E24">
    <cfRule type="expression" dxfId="69" priority="3">
      <formula>$B$30&gt;=0</formula>
    </cfRule>
  </conditionalFormatting>
  <hyperlinks>
    <hyperlink ref="C69" r:id="rId1"/>
    <hyperlink ref="A71" r:id="rId2" display="http://cifr.wested.org/resources/lea-moe/calculator/"/>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2" id="{7A9C34C0-C4D7-4C84-9F98-66310D18E8A4}">
            <xm:f>'3. Getting Started'!$B$7="Yes"</xm:f>
            <x14:dxf>
              <fill>
                <patternFill>
                  <bgColor theme="1"/>
                </patternFill>
              </fill>
            </x14:dxf>
          </x14:cfRule>
          <xm:sqref>B24:E24</xm:sqref>
        </x14:conditionalFormatting>
        <x14:conditionalFormatting xmlns:xm="http://schemas.microsoft.com/office/excel/2006/main">
          <x14:cfRule type="expression" priority="5" id="{17127E16-1C60-4C41-93DF-2BCA93438DFE}">
            <xm:f>'3. Getting Started'!$B$12="No"</xm:f>
            <x14:dxf>
              <fill>
                <patternFill>
                  <bgColor theme="1"/>
                </patternFill>
              </fill>
            </x14:dxf>
          </x14:cfRule>
          <xm:sqref>A59:B65</xm:sqref>
        </x14:conditionalFormatting>
        <x14:conditionalFormatting xmlns:xm="http://schemas.microsoft.com/office/excel/2006/main">
          <x14:cfRule type="expression" priority="1" id="{F9C3A2BE-DF7A-4809-AE4E-148800452205}">
            <xm:f>'3. Getting Started'!$B$6="No"</xm:f>
            <x14:dxf>
              <fill>
                <patternFill>
                  <bgColor theme="1"/>
                </patternFill>
              </fill>
            </x14:dxf>
          </x14:cfRule>
          <xm:sqref>B24:D24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D5"/>
  <sheetViews>
    <sheetView workbookViewId="0">
      <selection activeCell="A4" sqref="A4"/>
    </sheetView>
  </sheetViews>
  <sheetFormatPr defaultColWidth="8.75" defaultRowHeight="15.75" x14ac:dyDescent="0.25"/>
  <cols>
    <col min="1" max="1" width="31.25" bestFit="1" customWidth="1"/>
    <col min="2" max="2" width="10.75" bestFit="1" customWidth="1"/>
    <col min="3" max="3" width="43.75" bestFit="1" customWidth="1"/>
    <col min="4" max="4" width="10.75" bestFit="1" customWidth="1"/>
  </cols>
  <sheetData>
    <row r="1" spans="1:4" x14ac:dyDescent="0.25">
      <c r="A1" s="1" t="s">
        <v>55</v>
      </c>
      <c r="B1" s="1" t="s">
        <v>144</v>
      </c>
      <c r="C1" s="1" t="s">
        <v>90</v>
      </c>
      <c r="D1" s="1" t="s">
        <v>145</v>
      </c>
    </row>
    <row r="2" spans="1:4" x14ac:dyDescent="0.25">
      <c r="A2" t="s">
        <v>2</v>
      </c>
      <c r="B2" t="s">
        <v>72</v>
      </c>
      <c r="C2" t="s">
        <v>91</v>
      </c>
      <c r="D2" t="s">
        <v>110</v>
      </c>
    </row>
    <row r="3" spans="1:4" x14ac:dyDescent="0.25">
      <c r="A3" t="s">
        <v>220</v>
      </c>
      <c r="B3" t="s">
        <v>73</v>
      </c>
      <c r="C3" t="s">
        <v>92</v>
      </c>
      <c r="D3" t="s">
        <v>109</v>
      </c>
    </row>
    <row r="4" spans="1:4" x14ac:dyDescent="0.25">
      <c r="A4" t="s">
        <v>143</v>
      </c>
      <c r="C4" t="s">
        <v>196</v>
      </c>
    </row>
    <row r="5" spans="1:4" x14ac:dyDescent="0.25">
      <c r="A5" t="s">
        <v>56</v>
      </c>
      <c r="C5" t="s">
        <v>89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A3"/>
  <sheetViews>
    <sheetView workbookViewId="0"/>
  </sheetViews>
  <sheetFormatPr defaultRowHeight="15.75" x14ac:dyDescent="0.25"/>
  <sheetData>
    <row r="1" spans="1:1" x14ac:dyDescent="0.25">
      <c r="A1" t="s">
        <v>188</v>
      </c>
    </row>
    <row r="2" spans="1:1" x14ac:dyDescent="0.25">
      <c r="A2" t="s">
        <v>191</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1. Title Page</vt:lpstr>
      <vt:lpstr>2. Instructions</vt:lpstr>
      <vt:lpstr>3. Getting Started</vt:lpstr>
      <vt:lpstr>4. Multi-Year MOE Summary</vt:lpstr>
      <vt:lpstr>5. 15-16 Amounts</vt:lpstr>
      <vt:lpstr>6. 15-16 MOE</vt:lpstr>
      <vt:lpstr>7. 15-16 Exc &amp; Adj</vt:lpstr>
      <vt:lpstr>8. 16-17 Amounts</vt:lpstr>
      <vt:lpstr>9. 16-17 MOE</vt:lpstr>
      <vt:lpstr>10. 16-17 Exc &amp; Adj</vt:lpstr>
      <vt:lpstr>11. 17-18 Amounts</vt:lpstr>
      <vt:lpstr>12. 17-18 MOE</vt:lpstr>
      <vt:lpstr>13. 17-18 Exc &amp; Adj</vt:lpstr>
      <vt:lpstr>14. 18-19 Amounts</vt:lpstr>
      <vt:lpstr>15. 18-19 MOE</vt:lpstr>
      <vt:lpstr>16. 18-19 Exc &amp; Adj</vt:lpstr>
      <vt:lpstr>17. 19-20 Amounts</vt:lpstr>
      <vt:lpstr>18. 19-20 MOE</vt:lpstr>
      <vt:lpstr>19. 19-20 Exc &amp; Adj</vt:lpstr>
      <vt:lpstr>20. 11-12 Exc &amp; Adj</vt:lpstr>
      <vt:lpstr>21. 12-13 Exc &amp; Adj</vt:lpstr>
      <vt:lpstr>22. 13-14 Exc &amp; Adj</vt:lpstr>
      <vt:lpstr>23. 14-15 Exc &amp; Adj</vt:lpstr>
      <vt:lpstr>Lists</vt:lpstr>
      <vt:lpstr>24. LEA or SEA Worksheet</vt:lpstr>
      <vt:lpstr>'4. Multi-Year MOE Summary'!Print_Area</vt:lpstr>
      <vt:lpstr>'10. 16-17 Exc &amp; Adj'!Print_Titles</vt:lpstr>
      <vt:lpstr>'11. 17-18 Amounts'!Print_Titles</vt:lpstr>
      <vt:lpstr>'12. 17-18 MOE'!Print_Titles</vt:lpstr>
      <vt:lpstr>'13. 17-18 Exc &amp; Adj'!Print_Titles</vt:lpstr>
      <vt:lpstr>'14. 18-19 Amounts'!Print_Titles</vt:lpstr>
      <vt:lpstr>'15. 18-19 MOE'!Print_Titles</vt:lpstr>
      <vt:lpstr>'16. 18-19 Exc &amp; Adj'!Print_Titles</vt:lpstr>
      <vt:lpstr>'17. 19-20 Amounts'!Print_Titles</vt:lpstr>
      <vt:lpstr>'18. 19-20 MOE'!Print_Titles</vt:lpstr>
      <vt:lpstr>'19. 19-20 Exc &amp; Adj'!Print_Titles</vt:lpstr>
      <vt:lpstr>'20. 11-12 Exc &amp; Adj'!Print_Titles</vt:lpstr>
      <vt:lpstr>'21. 12-13 Exc &amp; Adj'!Print_Titles</vt:lpstr>
      <vt:lpstr>'22. 13-14 Exc &amp; Adj'!Print_Titles</vt:lpstr>
      <vt:lpstr>'23. 14-15 Exc &amp; Adj'!Print_Titles</vt:lpstr>
      <vt:lpstr>'4. Multi-Year MOE Summary'!Print_Titles</vt:lpstr>
      <vt:lpstr>'5. 15-16 Amounts'!Print_Titles</vt:lpstr>
      <vt:lpstr>'6. 15-16 MOE'!Print_Titles</vt:lpstr>
      <vt:lpstr>'7. 15-16 Exc &amp; Adj'!Print_Titles</vt:lpstr>
      <vt:lpstr>'8. 16-17 Amounts'!Print_Titles</vt:lpstr>
      <vt:lpstr>'9. 16-17 MOE'!Print_Titles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MOE Calculator</dc:title>
  <dc:creator>CIFR, Laura Johnson, Sara Doutre, Steve Smith, Sanay Abraham, Tom Munk</dc:creator>
  <cp:keywords>LEA MOE, Calculator, Fiscal Monitoring, CIFR, IDEA</cp:keywords>
  <cp:lastModifiedBy>Boudreau, Thomas</cp:lastModifiedBy>
  <cp:revision/>
  <cp:lastPrinted>2016-09-30T20:08:56Z</cp:lastPrinted>
  <dcterms:created xsi:type="dcterms:W3CDTF">2015-09-28T16:31:48Z</dcterms:created>
  <dcterms:modified xsi:type="dcterms:W3CDTF">2020-01-02T19:54:02Z</dcterms:modified>
</cp:coreProperties>
</file>